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 activeTab="3"/>
  </bookViews>
  <sheets>
    <sheet name="ИД" sheetId="1" r:id="rId1"/>
    <sheet name="ССРтек" sheetId="2" r:id="rId2"/>
    <sheet name="ОС-06-01тек" sheetId="21" state="hidden" r:id="rId3"/>
    <sheet name="ССРбаз" sheetId="7" r:id="rId4"/>
    <sheet name="ОС-06-01" sheetId="17" state="hidden" r:id="rId5"/>
    <sheet name="в ПЗ" sheetId="8" r:id="rId6"/>
  </sheets>
  <definedNames>
    <definedName name="Print_Area" localSheetId="5">'в ПЗ'!$A$1:$C$10</definedName>
    <definedName name="Print_Area" localSheetId="0">ИД!$A$1:$E$31</definedName>
    <definedName name="Print_Area" localSheetId="4">'ОС-06-01'!$B$1:$I$31</definedName>
    <definedName name="Print_Area" localSheetId="2">'ОС-06-01тек'!$B$1:$I$31</definedName>
    <definedName name="Print_Area" localSheetId="3">ССРбаз!$B$1:$I$63</definedName>
    <definedName name="Print_Area" localSheetId="1">ССРтек!$B$1:$I$68</definedName>
    <definedName name="Print_Titles" localSheetId="4">'ОС-06-01'!#REF!</definedName>
    <definedName name="Print_Titles" localSheetId="2">'ОС-06-01тек'!#REF!</definedName>
    <definedName name="Print_Titles" localSheetId="3">ССРбаз!$17:$17</definedName>
    <definedName name="Print_Titles" localSheetId="1">ССРтек!$17:$17</definedName>
    <definedName name="_xlnm.Print_Titles" localSheetId="3">ССРбаз!$17:$17</definedName>
    <definedName name="_xlnm.Print_Titles" localSheetId="1">ССРтек!$17:$17</definedName>
    <definedName name="_xlnm.Print_Area" localSheetId="5">'в ПЗ'!$A$1:$C$13</definedName>
    <definedName name="_xlnm.Print_Area" localSheetId="0">ИД!$A$1:$E$37</definedName>
    <definedName name="_xlnm.Print_Area" localSheetId="4">'ОС-06-01'!$B$1:$I$38</definedName>
    <definedName name="_xlnm.Print_Area" localSheetId="2">'ОС-06-01тек'!$B$1:$I$38</definedName>
    <definedName name="_xlnm.Print_Area" localSheetId="3">ССРбаз!$B$1:$I$67</definedName>
    <definedName name="_xlnm.Print_Area" localSheetId="1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K28" i="2"/>
  <c r="D33" i="1"/>
  <c r="E28" i="1" l="1"/>
  <c r="E27" i="1"/>
  <c r="K28" i="7" l="1"/>
  <c r="I23" i="7"/>
  <c r="E35" i="1" l="1"/>
  <c r="E34" i="1"/>
  <c r="E33" i="1"/>
  <c r="D35" i="1"/>
  <c r="D34" i="1"/>
  <c r="F23" i="1" l="1"/>
  <c r="E30" i="1"/>
  <c r="H49" i="2" l="1"/>
  <c r="D49" i="2"/>
  <c r="H49" i="7" l="1"/>
  <c r="D49" i="7"/>
  <c r="H48" i="7"/>
  <c r="D48" i="7"/>
  <c r="H47" i="7"/>
  <c r="D47" i="7"/>
  <c r="H46" i="7"/>
  <c r="D46" i="7"/>
  <c r="K36" i="1"/>
  <c r="I36" i="1" l="1"/>
  <c r="K21" i="1" l="1"/>
  <c r="C64" i="2" l="1"/>
  <c r="C62" i="7" s="1"/>
  <c r="D34" i="7" l="1"/>
  <c r="I58" i="2" l="1"/>
  <c r="F35" i="1"/>
  <c r="H33" i="1"/>
  <c r="H34" i="2" l="1"/>
  <c r="H34" i="7" s="1"/>
  <c r="D34" i="2"/>
  <c r="B23" i="2" l="1"/>
  <c r="B26" i="2" s="1"/>
  <c r="B30" i="2" s="1"/>
  <c r="B23" i="7"/>
  <c r="B26" i="7" s="1"/>
  <c r="B30" i="7" s="1"/>
  <c r="K20" i="1" l="1"/>
  <c r="G23" i="1"/>
  <c r="F39" i="2" l="1"/>
  <c r="G39" i="2"/>
  <c r="E39" i="2"/>
  <c r="D38" i="2" l="1"/>
  <c r="C38" i="2"/>
  <c r="D35" i="2"/>
  <c r="C35" i="2"/>
  <c r="F39" i="7"/>
  <c r="G39" i="7"/>
  <c r="E39" i="7"/>
  <c r="C38" i="7"/>
  <c r="C35" i="7"/>
  <c r="D38" i="7"/>
  <c r="H35" i="2"/>
  <c r="I35" i="2" s="1"/>
  <c r="H35" i="7" l="1"/>
  <c r="I35" i="7" s="1"/>
  <c r="H38" i="7"/>
  <c r="I38" i="7" s="1"/>
  <c r="H38" i="2"/>
  <c r="I38" i="2" s="1"/>
  <c r="D35" i="7"/>
  <c r="E24" i="1" l="1"/>
  <c r="H19" i="7"/>
  <c r="H19" i="2" l="1"/>
  <c r="H21" i="7"/>
  <c r="I26" i="2"/>
  <c r="F27" i="2"/>
  <c r="G27" i="2"/>
  <c r="H27" i="2"/>
  <c r="E27" i="2"/>
  <c r="D26" i="2"/>
  <c r="C26" i="2"/>
  <c r="I23" i="2"/>
  <c r="D23" i="2"/>
  <c r="C23" i="2"/>
  <c r="B34" i="2"/>
  <c r="B35" i="2" s="1"/>
  <c r="B36" i="2" s="1"/>
  <c r="B38" i="2" s="1"/>
  <c r="B42" i="2" s="1"/>
  <c r="D20" i="2"/>
  <c r="C20" i="2"/>
  <c r="D19" i="2"/>
  <c r="I27" i="2" l="1"/>
  <c r="H64" i="2"/>
  <c r="C19" i="7"/>
  <c r="C19" i="2" s="1"/>
  <c r="D19" i="7"/>
  <c r="I19" i="7" l="1"/>
  <c r="H31" i="7"/>
  <c r="G31" i="7"/>
  <c r="F27" i="7"/>
  <c r="G27" i="7"/>
  <c r="H27" i="7"/>
  <c r="E27" i="7"/>
  <c r="F24" i="7"/>
  <c r="G24" i="7"/>
  <c r="H24" i="7"/>
  <c r="H28" i="7" s="1"/>
  <c r="H32" i="7" s="1"/>
  <c r="H62" i="7" l="1"/>
  <c r="H34" i="1" l="1"/>
  <c r="F50" i="7" l="1"/>
  <c r="G50" i="7"/>
  <c r="E50" i="7"/>
  <c r="E50" i="2"/>
  <c r="F50" i="2"/>
  <c r="G50" i="2"/>
  <c r="C49" i="2"/>
  <c r="C49" i="7"/>
  <c r="D48" i="2" l="1"/>
  <c r="C48" i="2"/>
  <c r="D47" i="2"/>
  <c r="C47" i="2"/>
  <c r="D46" i="2"/>
  <c r="C46" i="2"/>
  <c r="C48" i="7"/>
  <c r="C47" i="7"/>
  <c r="C46" i="7" l="1"/>
  <c r="I49" i="2" l="1"/>
  <c r="H48" i="2" l="1"/>
  <c r="I48" i="2" s="1"/>
  <c r="I48" i="7"/>
  <c r="H47" i="2"/>
  <c r="I47" i="2" s="1"/>
  <c r="I47" i="7"/>
  <c r="H46" i="2"/>
  <c r="I56" i="7" l="1"/>
  <c r="I49" i="7"/>
  <c r="H36" i="7" l="1"/>
  <c r="H39" i="7" s="1"/>
  <c r="I55" i="7" l="1"/>
  <c r="B2" i="8"/>
  <c r="C30" i="2" l="1"/>
  <c r="D36" i="7" l="1"/>
  <c r="H36" i="2"/>
  <c r="B34" i="7" l="1"/>
  <c r="B35" i="7" s="1"/>
  <c r="B36" i="7" s="1"/>
  <c r="B37" i="7" l="1"/>
  <c r="B38" i="7"/>
  <c r="B42" i="7" s="1"/>
  <c r="B45" i="7" s="1"/>
  <c r="B46" i="7" s="1"/>
  <c r="B14" i="2" l="1"/>
  <c r="F24" i="2"/>
  <c r="G24" i="2" l="1"/>
  <c r="H24" i="2"/>
  <c r="E24" i="7"/>
  <c r="D25" i="17"/>
  <c r="D25" i="21"/>
  <c r="I24" i="2" l="1"/>
  <c r="E24" i="2"/>
  <c r="J24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1" i="2"/>
  <c r="E21" i="2" l="1"/>
  <c r="H21" i="2"/>
  <c r="G21" i="2"/>
  <c r="I22" i="21"/>
  <c r="G27" i="21"/>
  <c r="G28" i="21" s="1"/>
  <c r="H27" i="21"/>
  <c r="H28" i="21" s="1"/>
  <c r="D37" i="7" l="1"/>
  <c r="D37" i="2"/>
  <c r="B23" i="17" l="1"/>
  <c r="I36" i="2" l="1"/>
  <c r="I37" i="2"/>
  <c r="H39" i="2"/>
  <c r="I37" i="7"/>
  <c r="I34" i="7"/>
  <c r="C36" i="7"/>
  <c r="C37" i="7"/>
  <c r="C30" i="7"/>
  <c r="C25" i="17"/>
  <c r="F21" i="7"/>
  <c r="E21" i="7"/>
  <c r="C37" i="2"/>
  <c r="C36" i="2"/>
  <c r="F28" i="7" l="1"/>
  <c r="E28" i="7"/>
  <c r="I34" i="2"/>
  <c r="I39" i="2" s="1"/>
  <c r="I36" i="7"/>
  <c r="I39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9" i="2" l="1"/>
  <c r="J39" i="7"/>
  <c r="E28" i="2"/>
  <c r="G24" i="17"/>
  <c r="G26" i="17" s="1"/>
  <c r="G27" i="17" s="1"/>
  <c r="I22" i="17"/>
  <c r="B27" i="17"/>
  <c r="H27" i="17"/>
  <c r="H28" i="17" s="1"/>
  <c r="G28" i="17" l="1"/>
  <c r="G28" i="2"/>
  <c r="I26" i="7"/>
  <c r="I27" i="7" s="1"/>
  <c r="F28" i="2" l="1"/>
  <c r="G25" i="1"/>
  <c r="A23" i="17" l="1"/>
  <c r="A23" i="21"/>
  <c r="D23" i="17"/>
  <c r="D23" i="21"/>
  <c r="D30" i="7"/>
  <c r="D30" i="2" s="1"/>
  <c r="A30" i="7"/>
  <c r="F30" i="7" l="1"/>
  <c r="F31" i="7" s="1"/>
  <c r="F32" i="7" s="1"/>
  <c r="E30" i="7"/>
  <c r="A30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1" i="7" l="1"/>
  <c r="E32" i="7" s="1"/>
  <c r="I30" i="7"/>
  <c r="I31" i="7" s="1"/>
  <c r="F30" i="2"/>
  <c r="F31" i="2" s="1"/>
  <c r="F32" i="2" s="1"/>
  <c r="E30" i="2"/>
  <c r="E31" i="2" s="1"/>
  <c r="E32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5" i="21" l="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E28" i="21" l="1"/>
  <c r="I46" i="2"/>
  <c r="C53" i="2" l="1"/>
  <c r="C45" i="2"/>
  <c r="D36" i="2"/>
  <c r="C53" i="7"/>
  <c r="C45" i="7"/>
  <c r="I46" i="7" l="1"/>
  <c r="G21" i="7" l="1"/>
  <c r="H59" i="7"/>
  <c r="C61" i="2"/>
  <c r="C59" i="7" s="1"/>
  <c r="H61" i="2"/>
  <c r="G28" i="7" l="1"/>
  <c r="I24" i="7"/>
  <c r="J24" i="7"/>
  <c r="G32" i="7" l="1"/>
  <c r="A42" i="7"/>
  <c r="A42" i="2"/>
  <c r="C34" i="2" l="1"/>
  <c r="D2" i="7"/>
  <c r="C42" i="7" l="1"/>
  <c r="C42" i="2" s="1"/>
  <c r="G31" i="2" l="1"/>
  <c r="H31" i="2"/>
  <c r="G32" i="2" l="1"/>
  <c r="G40" i="2" l="1"/>
  <c r="G51" i="2" s="1"/>
  <c r="G40" i="7"/>
  <c r="G51" i="7" s="1"/>
  <c r="G53" i="7" s="1"/>
  <c r="G54" i="7" l="1"/>
  <c r="H40" i="7" l="1"/>
  <c r="D12" i="7" l="1"/>
  <c r="D12" i="2"/>
  <c r="A7" i="8" l="1"/>
  <c r="A4" i="8" l="1"/>
  <c r="D2" i="2" l="1"/>
  <c r="A53" i="2"/>
  <c r="G53" i="2" s="1"/>
  <c r="C34" i="7"/>
  <c r="G54" i="2" l="1"/>
  <c r="G56" i="2" l="1"/>
  <c r="G57" i="2" s="1"/>
  <c r="D57" i="2"/>
  <c r="H28" i="2"/>
  <c r="F40" i="7" l="1"/>
  <c r="F51" i="7" s="1"/>
  <c r="F53" i="7" s="1"/>
  <c r="I19" i="2"/>
  <c r="I20" i="7"/>
  <c r="I21" i="7" l="1"/>
  <c r="J21" i="7"/>
  <c r="B37" i="2"/>
  <c r="F40" i="2"/>
  <c r="F51" i="2" s="1"/>
  <c r="F53" i="2" s="1"/>
  <c r="H32" i="2"/>
  <c r="H40" i="2" s="1"/>
  <c r="I20" i="2"/>
  <c r="I21" i="2" s="1"/>
  <c r="J21" i="2" l="1"/>
  <c r="J28" i="7"/>
  <c r="I28" i="7"/>
  <c r="B45" i="2"/>
  <c r="B46" i="2" s="1"/>
  <c r="B47" i="7"/>
  <c r="B48" i="7" s="1"/>
  <c r="B49" i="7" s="1"/>
  <c r="B53" i="7" s="1"/>
  <c r="J31" i="7"/>
  <c r="I32" i="7" l="1"/>
  <c r="J32" i="7"/>
  <c r="B47" i="2"/>
  <c r="B48" i="2" s="1"/>
  <c r="B49" i="2" s="1"/>
  <c r="B53" i="2" s="1"/>
  <c r="B56" i="2" s="1"/>
  <c r="J28" i="2"/>
  <c r="I28" i="2"/>
  <c r="F54" i="2"/>
  <c r="E40" i="7" l="1"/>
  <c r="I40" i="7"/>
  <c r="H42" i="7" s="1"/>
  <c r="F56" i="2"/>
  <c r="F57" i="2" s="1"/>
  <c r="I30" i="2"/>
  <c r="H43" i="7" l="1"/>
  <c r="D42" i="7"/>
  <c r="I31" i="2"/>
  <c r="I32" i="2" s="1"/>
  <c r="E51" i="7"/>
  <c r="E53" i="7" s="1"/>
  <c r="J40" i="7"/>
  <c r="D45" i="7"/>
  <c r="H45" i="7"/>
  <c r="H50" i="7" s="1"/>
  <c r="J31" i="2"/>
  <c r="I42" i="7" l="1"/>
  <c r="E54" i="7"/>
  <c r="J32" i="2"/>
  <c r="I45" i="7"/>
  <c r="I50" i="7" s="1"/>
  <c r="F54" i="7"/>
  <c r="J50" i="7" l="1"/>
  <c r="E40" i="2"/>
  <c r="H51" i="7"/>
  <c r="H53" i="7" s="1"/>
  <c r="I53" i="7" s="1"/>
  <c r="I43" i="7"/>
  <c r="E51" i="2" l="1"/>
  <c r="J51" i="7"/>
  <c r="I51" i="7"/>
  <c r="I40" i="2" l="1"/>
  <c r="H42" i="2" s="1"/>
  <c r="E53" i="2"/>
  <c r="E54" i="2" s="1"/>
  <c r="J40" i="2"/>
  <c r="I42" i="2" l="1"/>
  <c r="I43" i="2" s="1"/>
  <c r="D42" i="2"/>
  <c r="D45" i="2"/>
  <c r="H45" i="2"/>
  <c r="H50" i="2" s="1"/>
  <c r="H43" i="2"/>
  <c r="E56" i="2"/>
  <c r="E57" i="2" s="1"/>
  <c r="B8" i="8" s="1"/>
  <c r="B5" i="8"/>
  <c r="H54" i="7"/>
  <c r="J54" i="7" s="1"/>
  <c r="I45" i="2" l="1"/>
  <c r="I50" i="2" s="1"/>
  <c r="I51" i="2" s="1"/>
  <c r="H51" i="2"/>
  <c r="J51" i="2" l="1"/>
  <c r="H53" i="2"/>
  <c r="H54" i="2" s="1"/>
  <c r="H56" i="2" s="1"/>
  <c r="I56" i="2" s="1"/>
  <c r="I54" i="7"/>
  <c r="C6" i="7" s="1"/>
  <c r="H57" i="2" l="1"/>
  <c r="I53" i="2"/>
  <c r="I54" i="2" s="1"/>
  <c r="B4" i="8" s="1"/>
  <c r="J54" i="2" l="1"/>
  <c r="I57" i="2"/>
  <c r="C6" i="2" s="1"/>
  <c r="J57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<sst xmlns="http://schemas.openxmlformats.org/spreadsheetml/2006/main" count="259" uniqueCount="163">
  <si>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</si>
  <si>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</si>
  <si>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</si>
  <si>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</si>
  <si>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</si>
  <si>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</si>
  <si>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</si>
  <si>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</si>
  <si>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</si>
  <si>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</si>
  <si>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</si>
  <si>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</si>
  <si>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</si>
  <si>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</si>
  <si>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</si>
  <si>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</si>
  <si>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</si>
  <si>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</si>
  <si>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</si>
  <si>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</si>
  <si>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</si>
  <si>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</si>
  <si>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</si>
  <si>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</si>
  <si>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</si>
  <si>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</si>
  <si>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</si>
  <si>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</si>
  <si>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</si>
  <si>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</si>
  <si>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</si>
  <si>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</si>
  <si>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</si>
  <si>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</si>
  <si>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</si>
  <si>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</si>
  <si>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</si>
  <si>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</si>
  <si>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</si>
  <si>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</si>
  <si>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</si>
  <si>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</si>
  <si>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</si>
  <si>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</si>
  <si>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</si>
  <si>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</si>
  <si>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</si>
  <si>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</si>
  <si>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</si>
  <si>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</si>
  <si>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</si>
  <si>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</si>
  <si>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</si>
  <si>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</si>
  <si>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</si>
  <si>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</si>
  <si>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</si>
  <si>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</si>
  <si>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</si>
  <si>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</si>
  <si>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</si>
  <si>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</si>
  <si>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</si>
  <si>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</si>
  <si>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</si>
  <si>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</si>
  <si>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</si>
  <si>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</si>
  <si>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</si>
  <si>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</si>
  <si>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</si>
  <si>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</si>
  <si>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</si>
  <si>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</si>
  <si>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</si>
  <si>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</si>
  <si>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</si>
  <si>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</si>
  <si>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</si>
  <si>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</si>
  <si>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</si>
  <si>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</si>
  <si>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</si>
  <si>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</si>
  <si>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</si>
  <si>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ЛС-01-01-01</t>
  </si>
  <si>
    <t>ЛС-02-01-01</t>
  </si>
  <si>
    <t>ОБЪЕКТНЫЙ СМЕТНЫЙ РАСЧЕТ № ОС-06-01</t>
  </si>
  <si>
    <t>ЛС-06-01-01</t>
  </si>
  <si>
    <t>ЛС-06-01-02</t>
  </si>
  <si>
    <t>ЛС-06-01-03</t>
  </si>
  <si>
    <t>ЛС-06-01-04</t>
  </si>
  <si>
    <t>ЛС-07-01-01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</si>
  <si>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</si>
  <si>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</si>
  <si>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</si>
  <si>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</si>
  <si>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</si>
  <si>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</si>
  <si>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</si>
  <si>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</si>
  <si>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Приложение №1 к договору №1428/21-ТП от 05.04.2021,счет №АS-з 1428/21 от 05.04.2021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</si>
  <si>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</si>
  <si>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</si>
  <si>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</si>
  <si>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</si>
  <si>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</si>
  <si>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</si>
  <si>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</si>
  <si>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</si>
  <si>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</si>
  <si>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</si>
  <si>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</si>
  <si>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</si>
  <si>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</si>
  <si>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</si>
  <si>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</si>
  <si>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</si>
  <si>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</si>
  <si>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</si>
  <si>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</si>
  <si>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</si>
  <si>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</si>
  <si>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</si>
  <si>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</si>
  <si>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</si>
  <si>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</si>
  <si>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</si>
  <si>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</si>
  <si>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</si>
  <si>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</si>
  <si>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</si>
  <si>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09-01-23-ООС</t>
  </si>
  <si>
    <t>Компенсационные выплаты за снос зеленых насаждений по ул.Пушкина от ТК-317 до ТК-320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</si>
  <si>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</si>
  <si>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</si>
  <si>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</si>
  <si>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</si>
  <si>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</si>
  <si>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</si>
  <si>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</si>
  <si>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В том числе ПИР</t>
  </si>
  <si>
    <t xml:space="preserve">Тепловые сети </t>
  </si>
  <si>
    <t>Восстановление благоустройства</t>
  </si>
  <si>
    <t>Разборка существующего покрытия и тротуара</t>
  </si>
  <si>
    <t>Компенсационные выплаты за снос зеленых насаждений</t>
  </si>
  <si>
    <t>1 квартал 2023 г.</t>
  </si>
  <si>
    <t>Прил. 1</t>
  </si>
  <si>
    <t>Письмо Минстроя России 
от 30.03.2023г. №17106-ИФ/09</t>
  </si>
  <si>
    <t>Письмо Минстроя России 
от 23.02.2023г. № 9791-ИФ/09</t>
  </si>
  <si>
    <t>Письмо Минстроя России 
от 30.01.2023г. № 4125-ИФ/09</t>
  </si>
  <si>
    <t>Стоимость возвратных сумм на 1 квартал 2023г. определилась в размере</t>
  </si>
  <si>
    <t xml:space="preserve"> Смета №1-4</t>
  </si>
  <si>
    <t>Смета №5</t>
  </si>
  <si>
    <t>Смета №6</t>
  </si>
  <si>
    <t>"Утвержден" «    »________________2023 г.</t>
  </si>
  <si>
    <t>№15-12/22 от 15.12.2022</t>
  </si>
  <si>
    <t>ООО "Системы Энергосбережения"</t>
  </si>
  <si>
    <t>Д.В. Легенкин</t>
  </si>
  <si>
    <t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м, D=530мм)</t>
  </si>
  <si>
    <t>15-12-22-2-ООС  таб.3.1</t>
  </si>
  <si>
    <t>15-12-22-2-ООС таб.3.1</t>
  </si>
  <si>
    <t>15-12-22-2-ООС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</si>
</sst>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0.000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0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7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38" fillId="2" borderId="5" xfId="0" applyFont="1" applyFill="1" applyBorder="1" applyAlignment="1">
      <alignment horizontal="left" vertical="center"/>
    </xf>
    <xf numFmtId="0" fontId="38" fillId="2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/>
    </xf>
    <xf numFmtId="2" fontId="40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2" borderId="14" xfId="0" applyNumberFormat="1" applyFont="1" applyFill="1" applyBorder="1" applyAlignment="1">
      <alignment vertical="center" wrapText="1"/>
    </xf>
    <xf numFmtId="4" fontId="38" fillId="2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4" fontId="34" fillId="3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right" vertical="center" wrapText="1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right" vertical="center"/>
    </xf>
    <xf numFmtId="0" fontId="47" fillId="2" borderId="14" xfId="0" applyFont="1" applyFill="1" applyBorder="1" applyAlignment="1">
      <alignment vertical="center" wrapText="1"/>
    </xf>
    <xf numFmtId="0" fontId="47" fillId="2" borderId="14" xfId="0" applyFont="1" applyFill="1" applyBorder="1" applyAlignment="1">
      <alignment horizontal="right" vertical="center"/>
    </xf>
    <xf numFmtId="167" fontId="38" fillId="0" borderId="0" xfId="0" applyNumberFormat="1" applyFont="1" applyFill="1" applyBorder="1" applyAlignment="1">
      <alignment vertical="center"/>
    </xf>
    <xf numFmtId="2" fontId="37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4" fontId="38" fillId="5" borderId="9" xfId="0" applyNumberFormat="1" applyFont="1" applyFill="1" applyBorder="1" applyAlignment="1">
      <alignment horizontal="right" vertical="center"/>
    </xf>
    <xf numFmtId="0" fontId="39" fillId="5" borderId="8" xfId="0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center" vertical="center"/>
    </xf>
    <xf numFmtId="0" fontId="38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8" fillId="5" borderId="10" xfId="0" applyNumberFormat="1" applyFont="1" applyFill="1" applyBorder="1" applyAlignment="1">
      <alignment horizontal="right" vertical="center"/>
    </xf>
    <xf numFmtId="0" fontId="38" fillId="5" borderId="11" xfId="0" applyFont="1" applyFill="1" applyBorder="1" applyAlignment="1">
      <alignment vertical="center" wrapText="1"/>
    </xf>
    <xf numFmtId="165" fontId="38" fillId="5" borderId="9" xfId="0" applyNumberFormat="1" applyFont="1" applyFill="1" applyBorder="1" applyAlignment="1">
      <alignment horizontal="right" vertical="center"/>
    </xf>
    <xf numFmtId="0" fontId="38" fillId="5" borderId="23" xfId="0" applyFont="1" applyFill="1" applyBorder="1" applyAlignment="1">
      <alignment vertical="center" wrapText="1"/>
    </xf>
    <xf numFmtId="4" fontId="38" fillId="5" borderId="25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4" fontId="43" fillId="0" borderId="0" xfId="0" applyNumberFormat="1" applyFont="1" applyBorder="1" applyAlignment="1">
      <alignment vertical="center"/>
    </xf>
    <xf numFmtId="167" fontId="37" fillId="2" borderId="0" xfId="0" applyNumberFormat="1" applyFont="1" applyFill="1"/>
    <xf numFmtId="4" fontId="37" fillId="0" borderId="0" xfId="0" applyNumberFormat="1" applyFont="1"/>
    <xf numFmtId="2" fontId="38" fillId="5" borderId="17" xfId="0" applyNumberFormat="1" applyFont="1" applyFill="1" applyBorder="1" applyAlignment="1">
      <alignment horizontal="left" vertical="center" wrapText="1"/>
    </xf>
    <xf numFmtId="0" fontId="46" fillId="5" borderId="9" xfId="0" applyFont="1" applyFill="1" applyBorder="1" applyAlignment="1">
      <alignment horizontal="left" vertical="center" wrapText="1"/>
    </xf>
    <xf numFmtId="2" fontId="38" fillId="5" borderId="26" xfId="0" applyNumberFormat="1" applyFont="1" applyFill="1" applyBorder="1" applyAlignment="1">
      <alignment horizontal="left" vertical="center" wrapText="1"/>
    </xf>
    <xf numFmtId="0" fontId="46" fillId="5" borderId="27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2" borderId="14" xfId="0" applyFont="1" applyFill="1" applyBorder="1" applyAlignment="1">
      <alignment horizontal="left" vertical="center"/>
    </xf>
    <xf numFmtId="0" fontId="47" fillId="2" borderId="14" xfId="0" applyFont="1" applyFill="1" applyBorder="1" applyAlignment="1">
      <alignment horizontal="left" vertical="center"/>
    </xf>
    <xf numFmtId="2" fontId="38" fillId="5" borderId="9" xfId="0" applyNumberFormat="1" applyFont="1" applyFill="1" applyBorder="1" applyAlignment="1">
      <alignment horizontal="left" vertical="center" wrapText="1"/>
    </xf>
    <xf numFmtId="4" fontId="38" fillId="2" borderId="14" xfId="0" applyNumberFormat="1" applyFont="1" applyFill="1" applyBorder="1" applyAlignment="1">
      <alignment horizontal="left" vertical="center" wrapText="1"/>
    </xf>
    <xf numFmtId="2" fontId="38" fillId="5" borderId="24" xfId="0" applyNumberFormat="1" applyFont="1" applyFill="1" applyBorder="1" applyAlignment="1">
      <alignment horizontal="left" vertical="center" wrapText="1"/>
    </xf>
    <xf numFmtId="2" fontId="38" fillId="5" borderId="25" xfId="0" applyNumberFormat="1" applyFont="1" applyFill="1" applyBorder="1" applyAlignment="1">
      <alignment horizontal="left" vertical="center" wrapText="1"/>
    </xf>
    <xf numFmtId="4" fontId="38" fillId="2" borderId="19" xfId="0" applyNumberFormat="1" applyFont="1" applyFill="1" applyBorder="1" applyAlignment="1">
      <alignment horizontal="left" vertical="center" wrapText="1"/>
    </xf>
    <xf numFmtId="4" fontId="38" fillId="2" borderId="21" xfId="0" applyNumberFormat="1" applyFont="1" applyFill="1" applyBorder="1" applyAlignment="1">
      <alignment horizontal="left" vertical="center" wrapText="1"/>
    </xf>
    <xf numFmtId="0" fontId="38" fillId="2" borderId="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2" fontId="40" fillId="2" borderId="5" xfId="0" applyNumberFormat="1" applyFont="1" applyFill="1" applyBorder="1" applyAlignment="1">
      <alignment horizontal="center" vertical="center" wrapText="1"/>
    </xf>
    <xf numFmtId="2" fontId="40" fillId="2" borderId="6" xfId="0" applyNumberFormat="1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4" fontId="31" fillId="0" borderId="14" xfId="0" applyNumberFormat="1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view="pageBreakPreview" topLeftCell="A20" zoomScaleNormal="100" zoomScaleSheetLayoutView="100" workbookViewId="0">
      <selection activeCell="E35" sqref="E35"/>
    </sheetView>
  </sheetViews>
  <sheetFormatPr defaultRowHeight="14.25"/>
  <cols>
    <col min="1" max="1" width="30.42578125" style="133" customWidth="1"/>
    <col min="2" max="2" width="19.28515625" style="133" customWidth="1"/>
    <col min="3" max="3" width="32.5703125" style="133" customWidth="1"/>
    <col min="4" max="4" width="9.28515625" style="133" bestFit="1" customWidth="1"/>
    <col min="5" max="5" width="10.85546875" style="133" customWidth="1"/>
    <col min="6" max="6" width="11.140625" style="133" customWidth="1"/>
    <col min="7" max="7" width="6.42578125" style="133" bestFit="1" customWidth="1"/>
    <col min="8" max="8" width="6.7109375" style="133" customWidth="1"/>
    <col min="9" max="9" width="14.140625" style="133" customWidth="1"/>
    <col min="10" max="10" width="9.140625" style="133"/>
    <col min="11" max="11" width="9.42578125" style="133" bestFit="1" customWidth="1"/>
    <col min="12" max="16384" width="9.140625" style="133"/>
  </cols>
  <sheetData>
    <row r="1" spans="1:8" s="138" customFormat="1" ht="20.100000000000001" customHeight="1">
      <c r="A1" s="136" t="s">
        <v>116</v>
      </c>
      <c r="B1" s="260" t="s">
        <v>156</v>
      </c>
      <c r="C1" s="261"/>
      <c r="D1" s="261"/>
      <c r="E1" s="262"/>
      <c r="F1" s="137"/>
      <c r="G1" s="137"/>
      <c r="H1" s="137"/>
    </row>
    <row r="2" spans="1:8" s="138" customFormat="1" ht="28.5" customHeight="1">
      <c r="A2" s="265" t="s">
        <v>117</v>
      </c>
      <c r="B2" s="263" t="s">
        <v>157</v>
      </c>
      <c r="C2" s="264"/>
      <c r="D2" s="261"/>
      <c r="E2" s="262"/>
      <c r="F2" s="263"/>
      <c r="G2" s="261"/>
      <c r="H2" s="262"/>
    </row>
    <row r="3" spans="1:8" s="138" customFormat="1" ht="29.25" customHeight="1">
      <c r="A3" s="266"/>
      <c r="B3" s="263" t="s">
        <v>107</v>
      </c>
      <c r="C3" s="264"/>
      <c r="D3" s="264"/>
      <c r="E3" s="267"/>
      <c r="F3" s="140"/>
      <c r="G3" s="141"/>
      <c r="H3" s="141"/>
    </row>
    <row r="4" spans="1:8" s="138" customFormat="1" ht="17.25" customHeight="1">
      <c r="A4" s="178"/>
      <c r="B4" s="176" t="s">
        <v>158</v>
      </c>
      <c r="C4" s="177"/>
      <c r="D4" s="177"/>
      <c r="E4" s="179"/>
      <c r="F4" s="140"/>
      <c r="G4" s="141"/>
      <c r="H4" s="141"/>
    </row>
    <row r="5" spans="1:8" s="138" customFormat="1" ht="20.100000000000001" customHeight="1">
      <c r="A5" s="136" t="s">
        <v>118</v>
      </c>
      <c r="B5" s="260" t="s">
        <v>119</v>
      </c>
      <c r="C5" s="261"/>
      <c r="D5" s="261"/>
      <c r="E5" s="262"/>
      <c r="F5" s="137"/>
      <c r="G5" s="137"/>
      <c r="H5" s="137"/>
    </row>
    <row r="6" spans="1:8" s="138" customFormat="1" ht="20.100000000000001" customHeight="1">
      <c r="A6" s="136" t="s">
        <v>107</v>
      </c>
      <c r="B6" s="260" t="s">
        <v>120</v>
      </c>
      <c r="C6" s="261"/>
      <c r="D6" s="261"/>
      <c r="E6" s="262"/>
      <c r="F6" s="137"/>
      <c r="G6" s="137"/>
      <c r="H6" s="137"/>
    </row>
    <row r="7" spans="1:8" s="138" customFormat="1" ht="20.100000000000001" customHeight="1">
      <c r="A7" s="136" t="s">
        <v>30</v>
      </c>
      <c r="B7" s="260" t="s">
        <v>130</v>
      </c>
      <c r="C7" s="261"/>
      <c r="D7" s="261"/>
      <c r="E7" s="262"/>
      <c r="F7" s="137"/>
      <c r="G7" s="137"/>
      <c r="H7" s="137"/>
    </row>
    <row r="8" spans="1:8" s="138" customFormat="1" ht="20.100000000000001" customHeight="1">
      <c r="A8" s="136" t="s">
        <v>31</v>
      </c>
      <c r="B8" s="260" t="s">
        <v>131</v>
      </c>
      <c r="C8" s="261"/>
      <c r="D8" s="261"/>
      <c r="E8" s="262"/>
      <c r="F8" s="137"/>
      <c r="G8" s="137"/>
      <c r="H8" s="137"/>
    </row>
    <row r="9" spans="1:8" s="138" customFormat="1" ht="20.100000000000001" customHeight="1">
      <c r="A9" s="136" t="s">
        <v>32</v>
      </c>
      <c r="B9" s="260" t="s">
        <v>130</v>
      </c>
      <c r="C9" s="261"/>
      <c r="D9" s="261"/>
      <c r="E9" s="262"/>
      <c r="F9" s="137"/>
      <c r="G9" s="137"/>
      <c r="H9" s="137"/>
    </row>
    <row r="10" spans="1:8" s="138" customFormat="1" ht="38.25" customHeight="1">
      <c r="A10" s="142" t="s">
        <v>0</v>
      </c>
      <c r="B10" s="263" t="s">
        <v>159</v>
      </c>
      <c r="C10" s="264"/>
      <c r="D10" s="264"/>
      <c r="E10" s="267"/>
      <c r="F10" s="137"/>
      <c r="G10" s="137"/>
      <c r="H10" s="137"/>
    </row>
    <row r="11" spans="1:8" s="128" customFormat="1">
      <c r="A11" s="129"/>
      <c r="B11" s="143" t="s">
        <v>146</v>
      </c>
      <c r="C11" s="274"/>
      <c r="D11" s="274"/>
      <c r="E11" s="275"/>
      <c r="F11" s="127"/>
      <c r="G11" s="127"/>
      <c r="H11" s="127"/>
    </row>
    <row r="12" spans="1:8" s="128" customFormat="1" ht="25.5">
      <c r="A12" s="187" t="s">
        <v>121</v>
      </c>
      <c r="B12" s="144">
        <v>47.51</v>
      </c>
      <c r="C12" s="270" t="s">
        <v>148</v>
      </c>
      <c r="D12" s="268" t="s">
        <v>147</v>
      </c>
      <c r="E12" s="126"/>
      <c r="F12" s="127"/>
      <c r="G12" s="127"/>
      <c r="H12" s="127"/>
    </row>
    <row r="13" spans="1:8" s="128" customFormat="1" ht="25.5">
      <c r="A13" s="187" t="s">
        <v>122</v>
      </c>
      <c r="B13" s="144">
        <v>9.66</v>
      </c>
      <c r="C13" s="271"/>
      <c r="D13" s="273"/>
      <c r="E13" s="126"/>
      <c r="F13" s="127"/>
      <c r="G13" s="127"/>
      <c r="H13" s="127"/>
    </row>
    <row r="14" spans="1:8" s="128" customFormat="1" ht="38.25">
      <c r="A14" s="187" t="s">
        <v>123</v>
      </c>
      <c r="B14" s="144">
        <v>15.6</v>
      </c>
      <c r="C14" s="272"/>
      <c r="D14" s="269"/>
      <c r="E14" s="126"/>
      <c r="F14" s="127"/>
      <c r="G14" s="127"/>
      <c r="H14" s="127"/>
    </row>
    <row r="15" spans="1:8" s="128" customFormat="1" ht="36.75" customHeight="1">
      <c r="A15" s="180" t="s">
        <v>124</v>
      </c>
      <c r="B15" s="169">
        <v>14.17</v>
      </c>
      <c r="C15" s="276" t="s">
        <v>149</v>
      </c>
      <c r="D15" s="181" t="s">
        <v>112</v>
      </c>
      <c r="E15" s="126"/>
      <c r="F15" s="127"/>
      <c r="G15" s="127"/>
      <c r="H15" s="127"/>
    </row>
    <row r="16" spans="1:8" s="128" customFormat="1" ht="38.25">
      <c r="A16" s="211" t="s">
        <v>126</v>
      </c>
      <c r="B16" s="168">
        <v>5.34</v>
      </c>
      <c r="C16" s="277"/>
      <c r="D16" s="181" t="s">
        <v>125</v>
      </c>
      <c r="E16" s="126"/>
      <c r="F16" s="127"/>
      <c r="G16" s="127"/>
      <c r="H16" s="127"/>
    </row>
    <row r="17" spans="1:11" s="128" customFormat="1" ht="14.25" customHeight="1">
      <c r="A17" s="144" t="s">
        <v>1</v>
      </c>
      <c r="B17" s="144">
        <v>5.36</v>
      </c>
      <c r="C17" s="270" t="s">
        <v>150</v>
      </c>
      <c r="D17" s="268" t="s">
        <v>127</v>
      </c>
      <c r="E17" s="136">
        <v>1.266</v>
      </c>
      <c r="F17" s="127"/>
      <c r="G17" s="127"/>
      <c r="H17" s="127"/>
    </row>
    <row r="18" spans="1:11" s="128" customFormat="1">
      <c r="A18" s="144" t="s">
        <v>2</v>
      </c>
      <c r="B18" s="144">
        <v>5.32</v>
      </c>
      <c r="C18" s="269"/>
      <c r="D18" s="269"/>
      <c r="E18" s="136">
        <v>1.19</v>
      </c>
      <c r="F18" s="127"/>
      <c r="G18" s="127"/>
      <c r="H18" s="127"/>
    </row>
    <row r="19" spans="1:11" s="128" customFormat="1">
      <c r="A19" s="129" t="s">
        <v>59</v>
      </c>
      <c r="B19" s="130"/>
      <c r="C19" s="130"/>
      <c r="D19" s="131"/>
      <c r="E19" s="131"/>
      <c r="F19" s="127"/>
      <c r="G19" s="127"/>
      <c r="H19" s="127"/>
    </row>
    <row r="20" spans="1:11" s="128" customFormat="1">
      <c r="A20" s="142" t="s">
        <v>3</v>
      </c>
      <c r="B20" s="139">
        <v>6.92</v>
      </c>
      <c r="C20" s="130"/>
      <c r="D20" s="131"/>
      <c r="E20" s="131"/>
      <c r="F20" s="127" t="s">
        <v>138</v>
      </c>
      <c r="G20" s="127"/>
      <c r="H20" s="127"/>
      <c r="I20" s="225">
        <v>1338.07</v>
      </c>
      <c r="J20" s="128" t="s">
        <v>139</v>
      </c>
      <c r="K20" s="128">
        <f>I20/1000</f>
        <v>1.3380700000000001</v>
      </c>
    </row>
    <row r="21" spans="1:11">
      <c r="A21" s="278" t="s">
        <v>4</v>
      </c>
      <c r="B21" s="279"/>
      <c r="C21" s="228"/>
      <c r="D21" s="229" t="s">
        <v>5</v>
      </c>
      <c r="E21" s="229" t="s">
        <v>6</v>
      </c>
      <c r="F21" s="132"/>
      <c r="G21" s="132"/>
      <c r="H21" s="132"/>
      <c r="I21" s="133">
        <v>470.58</v>
      </c>
      <c r="J21" s="133" t="s">
        <v>139</v>
      </c>
      <c r="K21" s="245">
        <f>I21/1000</f>
        <v>0.47099999999999997</v>
      </c>
    </row>
    <row r="22" spans="1:11" ht="30" hidden="1" customHeight="1">
      <c r="A22" s="230" t="s">
        <v>108</v>
      </c>
      <c r="B22" s="247" t="s">
        <v>111</v>
      </c>
      <c r="C22" s="254"/>
      <c r="D22" s="231"/>
      <c r="E22" s="232">
        <v>0</v>
      </c>
      <c r="F22" s="160"/>
      <c r="G22" s="149"/>
      <c r="H22" s="134"/>
      <c r="I22" s="135"/>
    </row>
    <row r="23" spans="1:11" ht="30" customHeight="1">
      <c r="A23" s="230" t="s">
        <v>162</v>
      </c>
      <c r="B23" s="247" t="s">
        <v>145</v>
      </c>
      <c r="C23" s="254"/>
      <c r="D23" s="231"/>
      <c r="E23" s="232">
        <v>0</v>
      </c>
      <c r="F23" s="224">
        <f>470.58/1000</f>
        <v>0.47099999999999997</v>
      </c>
      <c r="G23" s="149">
        <f>212/1000</f>
        <v>0.21199999999999999</v>
      </c>
      <c r="H23" s="134"/>
      <c r="I23" s="135"/>
    </row>
    <row r="24" spans="1:11" ht="30" hidden="1" customHeight="1">
      <c r="A24" s="230" t="s">
        <v>132</v>
      </c>
      <c r="B24" s="247" t="s">
        <v>133</v>
      </c>
      <c r="C24" s="254"/>
      <c r="D24" s="231"/>
      <c r="E24" s="232">
        <f>101509/1000</f>
        <v>101.51</v>
      </c>
      <c r="F24" s="160"/>
      <c r="G24" s="149"/>
      <c r="H24" s="134"/>
      <c r="I24" s="135"/>
    </row>
    <row r="25" spans="1:11" s="146" customFormat="1" ht="60" customHeight="1">
      <c r="A25" s="233" t="s">
        <v>128</v>
      </c>
      <c r="B25" s="247" t="s">
        <v>140</v>
      </c>
      <c r="C25" s="254"/>
      <c r="D25" s="234">
        <v>2.4</v>
      </c>
      <c r="E25" s="232" t="s">
        <v>7</v>
      </c>
      <c r="F25" s="147">
        <v>0.8</v>
      </c>
      <c r="G25" s="148">
        <f>D25*F25</f>
        <v>1.92</v>
      </c>
      <c r="H25" s="145"/>
    </row>
    <row r="26" spans="1:11" s="146" customFormat="1" ht="20.100000000000001" customHeight="1">
      <c r="A26" s="230" t="s">
        <v>82</v>
      </c>
      <c r="B26" s="247" t="s">
        <v>81</v>
      </c>
      <c r="C26" s="254"/>
      <c r="D26" s="227"/>
      <c r="E26" s="227">
        <v>9017.0400000000009</v>
      </c>
      <c r="F26" s="151"/>
      <c r="G26" s="151"/>
      <c r="H26" s="151"/>
    </row>
    <row r="27" spans="1:11" s="146" customFormat="1" ht="39" customHeight="1">
      <c r="A27" s="230" t="s">
        <v>160</v>
      </c>
      <c r="B27" s="247" t="s">
        <v>134</v>
      </c>
      <c r="C27" s="248"/>
      <c r="D27" s="227"/>
      <c r="E27" s="227">
        <f>521.74/1000</f>
        <v>0.52</v>
      </c>
      <c r="F27" s="151"/>
      <c r="G27" s="151"/>
      <c r="H27" s="151"/>
    </row>
    <row r="28" spans="1:11" s="146" customFormat="1" ht="32.25" customHeight="1">
      <c r="A28" s="230" t="s">
        <v>161</v>
      </c>
      <c r="B28" s="247" t="s">
        <v>135</v>
      </c>
      <c r="C28" s="254"/>
      <c r="D28" s="227"/>
      <c r="E28" s="227">
        <f>2368938.61/1000</f>
        <v>2368.94</v>
      </c>
      <c r="F28" s="151"/>
      <c r="G28" s="151"/>
      <c r="H28" s="151"/>
    </row>
    <row r="29" spans="1:11" ht="47.25" hidden="1" customHeight="1">
      <c r="A29" s="235" t="s">
        <v>101</v>
      </c>
      <c r="B29" s="256" t="s">
        <v>100</v>
      </c>
      <c r="C29" s="257"/>
      <c r="D29" s="236"/>
      <c r="E29" s="227">
        <v>0</v>
      </c>
      <c r="F29" s="132"/>
      <c r="G29" s="132"/>
      <c r="H29" s="132"/>
    </row>
    <row r="30" spans="1:11" s="146" customFormat="1" ht="23.25" customHeight="1">
      <c r="A30" s="230" t="s">
        <v>160</v>
      </c>
      <c r="B30" s="249" t="s">
        <v>136</v>
      </c>
      <c r="C30" s="250"/>
      <c r="D30" s="227"/>
      <c r="E30" s="227">
        <f>10534.33/1000</f>
        <v>10.53</v>
      </c>
      <c r="F30" s="151"/>
      <c r="G30" s="151"/>
      <c r="H30" s="151"/>
    </row>
    <row r="31" spans="1:11" s="146" customFormat="1" ht="30" customHeight="1">
      <c r="A31" s="222" t="s">
        <v>114</v>
      </c>
      <c r="B31" s="253" t="s">
        <v>55</v>
      </c>
      <c r="C31" s="253"/>
      <c r="D31" s="223">
        <v>2.14</v>
      </c>
      <c r="E31" s="223" t="s">
        <v>7</v>
      </c>
      <c r="F31" s="151"/>
      <c r="G31" s="151"/>
      <c r="H31" s="151"/>
    </row>
    <row r="32" spans="1:11" s="146" customFormat="1" ht="38.25">
      <c r="A32" s="150" t="s">
        <v>72</v>
      </c>
      <c r="B32" s="252" t="s">
        <v>73</v>
      </c>
      <c r="C32" s="252"/>
      <c r="D32" s="221">
        <v>0.2</v>
      </c>
      <c r="E32" s="221" t="s">
        <v>7</v>
      </c>
      <c r="F32" s="151"/>
      <c r="G32" s="151"/>
      <c r="H32" s="151"/>
    </row>
    <row r="33" spans="1:11" ht="48.75" customHeight="1">
      <c r="A33" s="213" t="s">
        <v>152</v>
      </c>
      <c r="B33" s="255" t="s">
        <v>115</v>
      </c>
      <c r="C33" s="255"/>
      <c r="D33" s="214">
        <f>(59825.62+58229.14+41555.56+57685.71)/1000</f>
        <v>217.3</v>
      </c>
      <c r="E33" s="214">
        <f>(320665.32+312108.2+222737.81+309195.43)/1000</f>
        <v>1164.71</v>
      </c>
      <c r="F33" s="132"/>
      <c r="G33" s="132"/>
      <c r="H33" s="132">
        <f>E33/B17</f>
        <v>217.296641791045</v>
      </c>
    </row>
    <row r="34" spans="1:11" ht="52.5" customHeight="1">
      <c r="A34" s="213" t="s">
        <v>153</v>
      </c>
      <c r="B34" s="258" t="s">
        <v>102</v>
      </c>
      <c r="C34" s="259"/>
      <c r="D34" s="214">
        <f>215377.07/1000</f>
        <v>215.38</v>
      </c>
      <c r="E34" s="214">
        <f>1145806/1000</f>
        <v>1145.81</v>
      </c>
      <c r="F34" s="132"/>
      <c r="G34" s="132"/>
      <c r="H34" s="132">
        <f>E34/B18</f>
        <v>215.377819548872</v>
      </c>
    </row>
    <row r="35" spans="1:11" ht="54" customHeight="1">
      <c r="A35" s="213" t="s">
        <v>154</v>
      </c>
      <c r="B35" s="258" t="s">
        <v>104</v>
      </c>
      <c r="C35" s="259"/>
      <c r="D35" s="214">
        <f>323065.04/1000</f>
        <v>323.07</v>
      </c>
      <c r="E35" s="214">
        <f>1718706/1000</f>
        <v>1718.71</v>
      </c>
      <c r="F35" s="212">
        <f>E33+E34+E35</f>
        <v>4029.23</v>
      </c>
      <c r="G35" s="132"/>
      <c r="H35" s="132"/>
    </row>
    <row r="36" spans="1:11" ht="25.5">
      <c r="A36" s="213" t="s">
        <v>129</v>
      </c>
      <c r="B36" s="258" t="s">
        <v>103</v>
      </c>
      <c r="C36" s="259"/>
      <c r="D36" s="214"/>
      <c r="E36" s="214">
        <v>0</v>
      </c>
      <c r="F36" s="132"/>
      <c r="G36" s="132">
        <v>578.94000000000005</v>
      </c>
      <c r="H36" s="132"/>
      <c r="I36" s="246">
        <f>E33+E34+E35+E36</f>
        <v>4029.23</v>
      </c>
      <c r="K36" s="246">
        <f>D33+D34+D35+D36</f>
        <v>755.75</v>
      </c>
    </row>
    <row r="37" spans="1:11" s="146" customFormat="1" ht="38.25">
      <c r="A37" s="150" t="s">
        <v>74</v>
      </c>
      <c r="B37" s="252" t="s">
        <v>58</v>
      </c>
      <c r="C37" s="252"/>
      <c r="D37" s="153">
        <v>3</v>
      </c>
      <c r="E37" s="153">
        <v>0.03</v>
      </c>
      <c r="F37" s="137">
        <v>3</v>
      </c>
    </row>
    <row r="39" spans="1:11">
      <c r="A39" s="251" t="s">
        <v>49</v>
      </c>
      <c r="B39" s="251"/>
      <c r="C39" s="251"/>
      <c r="D39" s="159" t="s">
        <v>5</v>
      </c>
      <c r="E39" s="159" t="s">
        <v>75</v>
      </c>
    </row>
    <row r="40" spans="1:11" ht="15" customHeight="1">
      <c r="A40" s="251"/>
      <c r="B40" s="251"/>
      <c r="C40" s="251"/>
      <c r="D40" s="303">
        <v>124.42</v>
      </c>
      <c r="E40" s="304">
        <v>1442.3</v>
      </c>
    </row>
  </sheetData>
  <mergeCells count="36">
    <mergeCell ref="B26:C26"/>
    <mergeCell ref="B25:C25"/>
    <mergeCell ref="C15:C16"/>
    <mergeCell ref="C17:C18"/>
    <mergeCell ref="B22:C22"/>
    <mergeCell ref="A21:B21"/>
    <mergeCell ref="B24:C24"/>
    <mergeCell ref="B23:C23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7:C27"/>
    <mergeCell ref="B30:C30"/>
    <mergeCell ref="A40:C40"/>
    <mergeCell ref="B37:C37"/>
    <mergeCell ref="B31:C31"/>
    <mergeCell ref="B28:C28"/>
    <mergeCell ref="B32:C32"/>
    <mergeCell ref="B33:C33"/>
    <mergeCell ref="A39:C39"/>
    <mergeCell ref="B29:C29"/>
    <mergeCell ref="B34:C34"/>
    <mergeCell ref="B36:C36"/>
    <mergeCell ref="B35:C35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view="pageBreakPreview" topLeftCell="A47" zoomScaleNormal="100" zoomScaleSheetLayoutView="100" workbookViewId="0">
      <selection activeCell="I60" sqref="I60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292" t="str">
        <f>ИД!B2</f>
        <v>ООО "Системы Энергосбережения"</v>
      </c>
      <c r="E2" s="292"/>
      <c r="F2" s="292"/>
      <c r="G2" s="292"/>
      <c r="H2" s="292"/>
      <c r="I2" s="2"/>
    </row>
    <row r="3" spans="2:9">
      <c r="B3" s="2"/>
      <c r="C3" s="3"/>
      <c r="D3" s="293" t="s">
        <v>10</v>
      </c>
      <c r="E3" s="293"/>
      <c r="F3" s="293"/>
      <c r="G3" s="293"/>
      <c r="H3" s="293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"&amp;I57&amp;"     тыс.руб."</f>
        <v xml:space="preserve"> Сводный сметный расчет сметной стоимостью     125037,32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292"/>
      <c r="E7" s="292"/>
      <c r="F7" s="292"/>
      <c r="G7" s="292"/>
      <c r="H7" s="292"/>
      <c r="I7" s="2"/>
    </row>
    <row r="8" spans="2:9">
      <c r="B8" s="2"/>
      <c r="C8" s="3"/>
      <c r="D8" s="293" t="s">
        <v>11</v>
      </c>
      <c r="E8" s="293"/>
      <c r="F8" s="293"/>
      <c r="G8" s="293"/>
      <c r="H8" s="293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294" t="s">
        <v>105</v>
      </c>
      <c r="E10" s="294"/>
      <c r="F10" s="294"/>
      <c r="G10" s="294"/>
      <c r="H10" s="294"/>
      <c r="I10" s="2"/>
    </row>
    <row r="11" spans="2:9">
      <c r="B11" s="2"/>
      <c r="C11" s="3"/>
      <c r="D11" s="107"/>
      <c r="E11" s="107"/>
      <c r="F11" s="107"/>
      <c r="G11" s="107"/>
      <c r="H11" s="107"/>
      <c r="I11" s="2"/>
    </row>
    <row r="12" spans="2:9" ht="30" customHeight="1">
      <c r="B12" s="2"/>
      <c r="C12" s="3"/>
      <c r="D12" s="291" t="str">
        <f>CONCATENATE(ИД!B10,ИД!C11)</f>
        <v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м, D=530мм)</v>
      </c>
      <c r="E12" s="291"/>
      <c r="F12" s="291"/>
      <c r="G12" s="291"/>
      <c r="H12" s="291"/>
      <c r="I12" s="2"/>
    </row>
    <row r="13" spans="2:9">
      <c r="B13" s="2"/>
      <c r="C13" s="3"/>
      <c r="D13" s="285" t="s">
        <v>12</v>
      </c>
      <c r="E13" s="285"/>
      <c r="F13" s="285"/>
      <c r="G13" s="285"/>
      <c r="H13" s="285"/>
      <c r="I13" s="2"/>
    </row>
    <row r="14" spans="2:9">
      <c r="B14" s="286" t="str">
        <f>CONCATENATE("Составлен в текущем уровне цен на ",ИД!B11)</f>
        <v>Составлен в текущем уровне цен на 1 квартал 2023 г.</v>
      </c>
      <c r="C14" s="286"/>
      <c r="D14" s="286"/>
      <c r="E14" s="286"/>
      <c r="F14" s="286"/>
      <c r="G14" s="286"/>
      <c r="H14" s="286"/>
      <c r="I14" s="286"/>
    </row>
    <row r="15" spans="2:9" ht="15" customHeight="1">
      <c r="B15" s="287" t="s">
        <v>13</v>
      </c>
      <c r="C15" s="288" t="s">
        <v>67</v>
      </c>
      <c r="D15" s="287" t="s">
        <v>77</v>
      </c>
      <c r="E15" s="289" t="s">
        <v>14</v>
      </c>
      <c r="F15" s="290"/>
      <c r="G15" s="290"/>
      <c r="H15" s="290"/>
      <c r="I15" s="290"/>
    </row>
    <row r="16" spans="2:9" ht="81.75" customHeight="1">
      <c r="B16" s="287"/>
      <c r="C16" s="288"/>
      <c r="D16" s="287"/>
      <c r="E16" s="96" t="s">
        <v>78</v>
      </c>
      <c r="F16" s="96" t="s">
        <v>15</v>
      </c>
      <c r="G16" s="96" t="s">
        <v>70</v>
      </c>
      <c r="H16" s="96" t="s">
        <v>79</v>
      </c>
      <c r="I16" s="96" t="s">
        <v>18</v>
      </c>
    </row>
    <row r="17" spans="1:14">
      <c r="B17" s="47">
        <v>1</v>
      </c>
      <c r="C17" s="10">
        <v>2</v>
      </c>
      <c r="D17" s="47">
        <v>3</v>
      </c>
      <c r="E17" s="47">
        <v>4</v>
      </c>
      <c r="F17" s="47">
        <v>5</v>
      </c>
      <c r="G17" s="47">
        <v>6</v>
      </c>
      <c r="H17" s="47">
        <v>7</v>
      </c>
      <c r="I17" s="47">
        <v>8</v>
      </c>
    </row>
    <row r="18" spans="1:14" s="22" customFormat="1" ht="20.100000000000001" customHeight="1">
      <c r="A18" s="28"/>
      <c r="B18" s="281" t="s">
        <v>29</v>
      </c>
      <c r="C18" s="282"/>
      <c r="D18" s="282"/>
      <c r="E18" s="282"/>
      <c r="F18" s="282"/>
      <c r="G18" s="282"/>
      <c r="H18" s="282"/>
      <c r="I18" s="282"/>
    </row>
    <row r="19" spans="1:14" s="22" customFormat="1" ht="27.75" hidden="1" customHeight="1">
      <c r="A19" s="28"/>
      <c r="B19" s="46">
        <v>1</v>
      </c>
      <c r="C19" s="23" t="str">
        <f>ССРбаз!C19</f>
        <v>15-12-22-2-ООС</v>
      </c>
      <c r="D19" s="24" t="str">
        <f>ИД!B23</f>
        <v>Компенсационные выплаты за снос зеленых насаждений</v>
      </c>
      <c r="E19" s="36"/>
      <c r="F19" s="36"/>
      <c r="G19" s="36"/>
      <c r="H19" s="36">
        <f>ИД!E23</f>
        <v>0</v>
      </c>
      <c r="I19" s="36">
        <f>SUM(E19:H19)</f>
        <v>0</v>
      </c>
    </row>
    <row r="20" spans="1:14" s="22" customFormat="1" ht="22.5" customHeight="1">
      <c r="A20" s="28"/>
      <c r="B20" s="103">
        <v>1</v>
      </c>
      <c r="C20" s="23" t="str">
        <f>ССРбаз!C20</f>
        <v>ЛС-01-01-01</v>
      </c>
      <c r="D20" s="24" t="str">
        <f>ССРбаз!D20</f>
        <v>Разборка существующего покрытия и тротуара</v>
      </c>
      <c r="E20" s="37">
        <v>1158.6300000000001</v>
      </c>
      <c r="F20" s="37"/>
      <c r="G20" s="37"/>
      <c r="H20" s="37"/>
      <c r="I20" s="36">
        <f t="shared" ref="I20" si="0">SUM(E20:H20)</f>
        <v>1158.6300000000001</v>
      </c>
      <c r="L20" s="209"/>
    </row>
    <row r="21" spans="1:14" s="22" customFormat="1" ht="20.100000000000001" customHeight="1">
      <c r="A21" s="28"/>
      <c r="B21" s="19"/>
      <c r="C21" s="20"/>
      <c r="D21" s="21" t="s">
        <v>33</v>
      </c>
      <c r="E21" s="18">
        <f>SUM(E19:E20)</f>
        <v>1158.6300000000001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1158.6300000000001</v>
      </c>
      <c r="J21" s="41" t="b">
        <f>SUM(E21:H21)=SUM(I19:I20)</f>
        <v>1</v>
      </c>
    </row>
    <row r="22" spans="1:14" s="22" customFormat="1" ht="20.100000000000001" customHeight="1">
      <c r="A22" s="28"/>
      <c r="B22" s="281" t="s">
        <v>34</v>
      </c>
      <c r="C22" s="282"/>
      <c r="D22" s="282"/>
      <c r="E22" s="282"/>
      <c r="F22" s="282"/>
      <c r="G22" s="282"/>
      <c r="H22" s="282"/>
      <c r="I22" s="282"/>
    </row>
    <row r="23" spans="1:14" s="22" customFormat="1" ht="30" customHeight="1">
      <c r="A23" s="28"/>
      <c r="B23" s="46">
        <f>B20+1</f>
        <v>2</v>
      </c>
      <c r="C23" s="23" t="str">
        <f>ССРбаз!C23</f>
        <v>ЛС-02-01-01</v>
      </c>
      <c r="D23" s="24" t="str">
        <f>ССРбаз!D23</f>
        <v xml:space="preserve">Тепловые сети </v>
      </c>
      <c r="E23" s="37">
        <v>69151.56</v>
      </c>
      <c r="F23" s="37">
        <v>708.16</v>
      </c>
      <c r="G23" s="37">
        <v>74.86</v>
      </c>
      <c r="H23" s="37"/>
      <c r="I23" s="23">
        <f>SUM(E23:H23)</f>
        <v>69934.58</v>
      </c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69151.56</v>
      </c>
      <c r="F24" s="18">
        <f>SUM(F23:F23)</f>
        <v>708.16</v>
      </c>
      <c r="G24" s="18">
        <f>SUM(G23:G23)</f>
        <v>74.86</v>
      </c>
      <c r="H24" s="18">
        <f>SUM(H23:H23)</f>
        <v>0</v>
      </c>
      <c r="I24" s="18">
        <f>SUM(I23:I23)</f>
        <v>69934.58</v>
      </c>
      <c r="J24" s="41" t="b">
        <f>SUM(E24:H24)=SUM(I23:I23)</f>
        <v>1</v>
      </c>
    </row>
    <row r="25" spans="1:14" s="22" customFormat="1" ht="20.100000000000001" customHeight="1">
      <c r="A25" s="28"/>
      <c r="B25" s="281" t="s">
        <v>83</v>
      </c>
      <c r="C25" s="282"/>
      <c r="D25" s="282"/>
      <c r="E25" s="282"/>
      <c r="F25" s="282"/>
      <c r="G25" s="282"/>
      <c r="H25" s="282"/>
      <c r="I25" s="282"/>
      <c r="J25" s="41"/>
    </row>
    <row r="26" spans="1:14" s="109" customFormat="1" ht="27.75" customHeight="1">
      <c r="A26" s="29"/>
      <c r="B26" s="121">
        <f>B23+1</f>
        <v>3</v>
      </c>
      <c r="C26" s="157" t="str">
        <f>ССРбаз!C26</f>
        <v>ЛС-07-01-01</v>
      </c>
      <c r="D26" s="156" t="str">
        <f>ССРбаз!D26</f>
        <v>Восстановление благоустройства</v>
      </c>
      <c r="E26" s="155">
        <v>11541.43</v>
      </c>
      <c r="F26" s="155"/>
      <c r="G26" s="155"/>
      <c r="H26" s="155"/>
      <c r="I26" s="157">
        <f>SUM(E26:H26)</f>
        <v>11541.43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11541.43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11541.43</v>
      </c>
      <c r="J27" s="41"/>
    </row>
    <row r="28" spans="1:14" s="1" customFormat="1" ht="20.100000000000001" customHeight="1">
      <c r="A28" s="29"/>
      <c r="B28" s="117"/>
      <c r="C28" s="17"/>
      <c r="D28" s="116" t="s">
        <v>36</v>
      </c>
      <c r="E28" s="18">
        <f>E21+E24+E27</f>
        <v>81851.62</v>
      </c>
      <c r="F28" s="18">
        <f>F21+F24+F27</f>
        <v>708.16</v>
      </c>
      <c r="G28" s="18">
        <f>G21+G24+G27</f>
        <v>74.86</v>
      </c>
      <c r="H28" s="18">
        <f>H21+H24+H27</f>
        <v>0</v>
      </c>
      <c r="I28" s="18">
        <f>I21+I24+I27</f>
        <v>82634.64</v>
      </c>
      <c r="J28" s="41" t="b">
        <f>SUM(E28:H28)=I24+M27+I21+I27</f>
        <v>1</v>
      </c>
      <c r="K28" s="207">
        <f>E20+E23+F23+E26+G23</f>
        <v>82634.64</v>
      </c>
      <c r="L28" s="207"/>
      <c r="M28" s="207"/>
      <c r="N28" s="207"/>
    </row>
    <row r="29" spans="1:14" ht="20.100000000000001" customHeight="1">
      <c r="B29" s="281" t="s">
        <v>37</v>
      </c>
      <c r="C29" s="282"/>
      <c r="D29" s="282"/>
      <c r="E29" s="282"/>
      <c r="F29" s="282"/>
      <c r="G29" s="282"/>
      <c r="H29" s="282"/>
      <c r="I29" s="282"/>
    </row>
    <row r="30" spans="1:14" ht="68.25" customHeight="1">
      <c r="A30" s="31">
        <f>ССРбаз!A30</f>
        <v>1.9199999999999998E-2</v>
      </c>
      <c r="B30" s="121">
        <f>B26+1</f>
        <v>4</v>
      </c>
      <c r="C30" s="24" t="str">
        <f>ИД!A25</f>
        <v>Методика утв. Приказом Минстрой РФ от 19.06.20г. №332/пр, Приложение 1, п.53</v>
      </c>
      <c r="D30" s="24" t="str">
        <f>ССРбаз!D30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23">
        <f>E28*A30</f>
        <v>1571.55</v>
      </c>
      <c r="F30" s="23">
        <f>F28*A30</f>
        <v>13.6</v>
      </c>
      <c r="G30" s="23"/>
      <c r="H30" s="23"/>
      <c r="I30" s="23">
        <f>SUM(E30:H30)</f>
        <v>1585.15</v>
      </c>
      <c r="J30" s="175"/>
      <c r="L30" s="175"/>
    </row>
    <row r="31" spans="1:14" ht="20.100000000000001" customHeight="1">
      <c r="B31" s="19"/>
      <c r="C31" s="20"/>
      <c r="D31" s="21" t="s">
        <v>38</v>
      </c>
      <c r="E31" s="18">
        <f>SUM(E30:E30)</f>
        <v>1571.55</v>
      </c>
      <c r="F31" s="18">
        <f>SUM(F30:F30)</f>
        <v>13.6</v>
      </c>
      <c r="G31" s="18">
        <f>SUM(G30:G30)</f>
        <v>0</v>
      </c>
      <c r="H31" s="18">
        <f>SUM(H30:H30)</f>
        <v>0</v>
      </c>
      <c r="I31" s="18">
        <f>SUM(I30:I30)</f>
        <v>1585.15</v>
      </c>
      <c r="J31" s="41" t="b">
        <f>SUM(E31:H31)=SUM(I30:I30)</f>
        <v>1</v>
      </c>
    </row>
    <row r="32" spans="1:14" ht="20.100000000000001" customHeight="1">
      <c r="B32" s="47"/>
      <c r="C32" s="17"/>
      <c r="D32" s="44" t="s">
        <v>39</v>
      </c>
      <c r="E32" s="18">
        <f>E28+E31</f>
        <v>83423.17</v>
      </c>
      <c r="F32" s="18">
        <f>F28+F31</f>
        <v>721.76</v>
      </c>
      <c r="G32" s="18">
        <f>G28+G31</f>
        <v>74.86</v>
      </c>
      <c r="H32" s="18">
        <f>H28+H31</f>
        <v>0</v>
      </c>
      <c r="I32" s="18">
        <f>I28+I31</f>
        <v>84219.79</v>
      </c>
      <c r="J32" s="41" t="b">
        <f>SUM(E32:H32)=I28+I31</f>
        <v>1</v>
      </c>
    </row>
    <row r="33" spans="1:10" ht="20.100000000000001" customHeight="1">
      <c r="B33" s="281" t="s">
        <v>40</v>
      </c>
      <c r="C33" s="282"/>
      <c r="D33" s="282"/>
      <c r="E33" s="282"/>
      <c r="F33" s="282"/>
      <c r="G33" s="282"/>
      <c r="H33" s="282"/>
      <c r="I33" s="282"/>
    </row>
    <row r="34" spans="1:10" ht="27.75" customHeight="1">
      <c r="B34" s="121">
        <f>B30+1</f>
        <v>5</v>
      </c>
      <c r="C34" s="24" t="str">
        <f>ИД!A26</f>
        <v>СР-1</v>
      </c>
      <c r="D34" s="24" t="str">
        <f>CONCATENATE(ИД!B26," ","(",ИД!E26,"/",1.2,")")</f>
        <v>Стоимость размещения отходов на полигоне ТБО (9017,04/1,2)</v>
      </c>
      <c r="E34" s="23"/>
      <c r="F34" s="23"/>
      <c r="G34" s="23"/>
      <c r="H34" s="23">
        <f>ИД!E26/1.2</f>
        <v>7514.2</v>
      </c>
      <c r="I34" s="23">
        <f t="shared" ref="I34:I37" si="1">SUM(E34:H34)</f>
        <v>7514.2</v>
      </c>
    </row>
    <row r="35" spans="1:10" ht="27.75" customHeight="1">
      <c r="B35" s="121">
        <f>B34+1</f>
        <v>6</v>
      </c>
      <c r="C35" s="24" t="str">
        <f>ИД!A27</f>
        <v>15-12-22-2-ООС  таб.3.1</v>
      </c>
      <c r="D35" s="24" t="str">
        <f>ИД!B27</f>
        <v>Расчёт платы за негативное воздействие на окружающую среду (выбросы загрязняющих веществ в атмосферу)</v>
      </c>
      <c r="E35" s="23"/>
      <c r="F35" s="23"/>
      <c r="G35" s="23"/>
      <c r="H35" s="23">
        <f>ИД!E27</f>
        <v>0.52</v>
      </c>
      <c r="I35" s="23">
        <f>SUM(E35:H35)</f>
        <v>0.52</v>
      </c>
    </row>
    <row r="36" spans="1:10" s="60" customFormat="1" ht="37.5" customHeight="1">
      <c r="A36" s="29"/>
      <c r="B36" s="220">
        <f>B35+1</f>
        <v>7</v>
      </c>
      <c r="C36" s="161" t="str">
        <f>ИД!A28</f>
        <v>15-12-22-2-ООС таб.3.1</v>
      </c>
      <c r="D36" s="161" t="str">
        <f>ИД!B28</f>
        <v>Расчёт платы за негативное воздействие на окружающую среду (размещеие отходов)</v>
      </c>
      <c r="E36" s="217"/>
      <c r="F36" s="217"/>
      <c r="G36" s="217"/>
      <c r="H36" s="162">
        <f>ИД!E28</f>
        <v>2368.94</v>
      </c>
      <c r="I36" s="162">
        <f t="shared" si="1"/>
        <v>2368.94</v>
      </c>
    </row>
    <row r="37" spans="1:10" s="60" customFormat="1" ht="60.75" hidden="1" customHeight="1">
      <c r="A37" s="29"/>
      <c r="B37" s="185">
        <f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(",ИД!E29,"/1,2/1000)")</f>
        <v>Плата за технологическое присоединение к сетям АО "ДРСК" (0/1,2/1000)</v>
      </c>
      <c r="E37" s="186"/>
      <c r="F37" s="186"/>
      <c r="G37" s="186"/>
      <c r="H37" s="183"/>
      <c r="I37" s="183">
        <f t="shared" si="1"/>
        <v>0</v>
      </c>
    </row>
    <row r="38" spans="1:10" s="60" customFormat="1" ht="26.25" customHeight="1">
      <c r="A38" s="29"/>
      <c r="B38" s="121">
        <f>B36+1</f>
        <v>8</v>
      </c>
      <c r="C38" s="156" t="str">
        <f>ИД!A30</f>
        <v>15-12-22-2-ООС  таб.3.1</v>
      </c>
      <c r="D38" s="156" t="str">
        <f>ИД!B30</f>
        <v>Расчет затрат на экологический мониторинг</v>
      </c>
      <c r="E38" s="219"/>
      <c r="F38" s="219"/>
      <c r="G38" s="219"/>
      <c r="H38" s="157">
        <f>ИД!E30</f>
        <v>10.53</v>
      </c>
      <c r="I38" s="157">
        <f>SUM(E38:H38)</f>
        <v>10.53</v>
      </c>
    </row>
    <row r="39" spans="1:10" ht="18" customHeight="1">
      <c r="B39" s="19"/>
      <c r="C39" s="20"/>
      <c r="D39" s="21" t="s">
        <v>41</v>
      </c>
      <c r="E39" s="18">
        <f>SUM(E34:E38)</f>
        <v>0</v>
      </c>
      <c r="F39" s="18">
        <f t="shared" ref="F39:I39" si="2">SUM(F34:F38)</f>
        <v>0</v>
      </c>
      <c r="G39" s="18">
        <f t="shared" si="2"/>
        <v>0</v>
      </c>
      <c r="H39" s="18">
        <f t="shared" si="2"/>
        <v>9894.19</v>
      </c>
      <c r="I39" s="18">
        <f t="shared" si="2"/>
        <v>9894.19</v>
      </c>
      <c r="J39" s="41" t="b">
        <f>SUM(E39:H39)=SUM(I34:I38)</f>
        <v>1</v>
      </c>
    </row>
    <row r="40" spans="1:10" ht="18" customHeight="1">
      <c r="B40" s="57"/>
      <c r="C40" s="17"/>
      <c r="D40" s="56" t="s">
        <v>42</v>
      </c>
      <c r="E40" s="18">
        <f>E32+E39</f>
        <v>83423.17</v>
      </c>
      <c r="F40" s="18">
        <f>F32+F39</f>
        <v>721.76</v>
      </c>
      <c r="G40" s="18">
        <f>G32+G39</f>
        <v>74.86</v>
      </c>
      <c r="H40" s="18">
        <f>H32+H39</f>
        <v>9894.19</v>
      </c>
      <c r="I40" s="18">
        <f>I32+I39</f>
        <v>94113.98</v>
      </c>
      <c r="J40" s="41" t="b">
        <f>SUM(E40:H40)=I32+I39</f>
        <v>1</v>
      </c>
    </row>
    <row r="41" spans="1:10" s="22" customFormat="1" ht="18" customHeight="1">
      <c r="B41" s="281" t="s">
        <v>54</v>
      </c>
      <c r="C41" s="282"/>
      <c r="D41" s="282"/>
      <c r="E41" s="282"/>
      <c r="F41" s="282"/>
      <c r="G41" s="282"/>
      <c r="H41" s="282"/>
      <c r="I41" s="282"/>
    </row>
    <row r="42" spans="1:10" s="22" customFormat="1" ht="38.25">
      <c r="A42" s="55">
        <f>ИД!D31%</f>
        <v>2.1399999999999999E-2</v>
      </c>
      <c r="B42" s="121">
        <f>B38+1</f>
        <v>9</v>
      </c>
      <c r="C42" s="102" t="str">
        <f>ССРбаз!C42</f>
        <v>Постановление Правительства РФ от 21.06.2010г. №468</v>
      </c>
      <c r="D42" s="40" t="str">
        <f>CONCATENATE(ИД!B31," ","-"," ",ИД!D31,ИД!E31," ","от"," ",I40)</f>
        <v>Строительный контроль - 2,14% от 94113,98</v>
      </c>
      <c r="E42" s="34"/>
      <c r="F42" s="34"/>
      <c r="G42" s="34"/>
      <c r="H42" s="37">
        <f>I40*$A$42</f>
        <v>2014.04</v>
      </c>
      <c r="I42" s="37">
        <f>SUM(E42:H42)</f>
        <v>2014.04</v>
      </c>
    </row>
    <row r="43" spans="1:10" s="22" customFormat="1" ht="18" customHeight="1">
      <c r="A43" s="28"/>
      <c r="B43" s="19"/>
      <c r="C43" s="20"/>
      <c r="D43" s="21" t="s">
        <v>56</v>
      </c>
      <c r="E43" s="18"/>
      <c r="F43" s="18"/>
      <c r="G43" s="18"/>
      <c r="H43" s="18">
        <f>SUM(H42:H42)</f>
        <v>2014.04</v>
      </c>
      <c r="I43" s="18">
        <f>SUM(I42:I42)</f>
        <v>2014.04</v>
      </c>
      <c r="J43" s="41"/>
    </row>
    <row r="44" spans="1:10" s="50" customFormat="1" ht="56.1" customHeight="1">
      <c r="A44" s="95">
        <v>2E-3</v>
      </c>
      <c r="B44" s="281" t="s">
        <v>76</v>
      </c>
      <c r="C44" s="282"/>
      <c r="D44" s="282"/>
      <c r="E44" s="282"/>
      <c r="F44" s="282"/>
      <c r="G44" s="282"/>
      <c r="H44" s="282"/>
      <c r="I44" s="282"/>
      <c r="J44" s="53"/>
    </row>
    <row r="45" spans="1:10" s="50" customFormat="1" ht="54.75" customHeight="1">
      <c r="B45" s="94">
        <f>B42+1</f>
        <v>10</v>
      </c>
      <c r="C45" s="106" t="str">
        <f>ИД!A32</f>
        <v>Методика утв. Приказом Минстрой РФ от 04.08.2020г. №421/пр п.173</v>
      </c>
      <c r="D45" s="92" t="str">
        <f>CONCATENATE(ИД!$B$32," - ",ИД!$D$32,ИД!$E$32," от ",I40,"
")</f>
        <v xml:space="preserve">Авторский надзор  - 0,2% от 94113,98
</v>
      </c>
      <c r="E45" s="49"/>
      <c r="F45" s="49"/>
      <c r="G45" s="49"/>
      <c r="H45" s="37">
        <f>I40*A44</f>
        <v>188.23</v>
      </c>
      <c r="I45" s="93">
        <f>SUM(E45:H45)</f>
        <v>188.23</v>
      </c>
      <c r="J45" s="53"/>
    </row>
    <row r="46" spans="1:10" s="50" customFormat="1" ht="42" customHeight="1">
      <c r="A46" s="48"/>
      <c r="B46" s="198">
        <f>B45+1</f>
        <v>11</v>
      </c>
      <c r="C46" s="199" t="str">
        <f>ИД!A33</f>
        <v xml:space="preserve"> Смета №1-4</v>
      </c>
      <c r="D46" s="199" t="str">
        <f>ИД!B33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200"/>
      <c r="F46" s="200"/>
      <c r="G46" s="200"/>
      <c r="H46" s="201">
        <f>ИД!E33</f>
        <v>1164.71</v>
      </c>
      <c r="I46" s="201">
        <f t="shared" ref="I46:I49" si="3">SUM(E46:H46)</f>
        <v>1164.71</v>
      </c>
      <c r="J46" s="53"/>
    </row>
    <row r="47" spans="1:10" s="50" customFormat="1" ht="30" customHeight="1">
      <c r="A47" s="48"/>
      <c r="B47" s="198">
        <f>B46+1</f>
        <v>12</v>
      </c>
      <c r="C47" s="199" t="str">
        <f>ИД!A34</f>
        <v>Смета №5</v>
      </c>
      <c r="D47" s="199" t="str">
        <f>ИД!B34</f>
        <v>Разработка проектной документации</v>
      </c>
      <c r="E47" s="200"/>
      <c r="F47" s="200"/>
      <c r="G47" s="200"/>
      <c r="H47" s="201">
        <f>ИД!E34</f>
        <v>1145.81</v>
      </c>
      <c r="I47" s="201">
        <f t="shared" si="3"/>
        <v>1145.81</v>
      </c>
      <c r="J47" s="53"/>
    </row>
    <row r="48" spans="1:10" s="50" customFormat="1" ht="33" customHeight="1">
      <c r="A48" s="48"/>
      <c r="B48" s="198">
        <f>B47+1</f>
        <v>13</v>
      </c>
      <c r="C48" s="199" t="str">
        <f>ИД!A35</f>
        <v>Смета №6</v>
      </c>
      <c r="D48" s="199" t="str">
        <f>ИД!B35</f>
        <v>Разработка рабочей документации</v>
      </c>
      <c r="E48" s="200"/>
      <c r="F48" s="200"/>
      <c r="G48" s="200"/>
      <c r="H48" s="201">
        <f>ИД!E35</f>
        <v>1718.71</v>
      </c>
      <c r="I48" s="201">
        <f t="shared" si="3"/>
        <v>1718.71</v>
      </c>
      <c r="J48" s="53"/>
    </row>
    <row r="49" spans="1:10" s="50" customFormat="1" ht="42" customHeight="1">
      <c r="A49" s="48"/>
      <c r="B49" s="198">
        <f>B48+1</f>
        <v>14</v>
      </c>
      <c r="C49" s="199" t="str">
        <f>ИД!A36</f>
        <v>Постановление Правительства РФ №145от 05.03.2007г.</v>
      </c>
      <c r="D49" s="199" t="str">
        <f>CONCATENATE(ИД!B36," ","(",ИД!D33,"*",0.273,"+",ИД!D34,"*",0.273,")","*",ИД!B20)</f>
        <v>Проведение государственной экспертизы по объекту (217,3*0,273+215,38*0,273)*6,92</v>
      </c>
      <c r="E49" s="200"/>
      <c r="F49" s="200"/>
      <c r="G49" s="200"/>
      <c r="H49" s="201">
        <f>(ИД!D33*0.273+ИД!D34*0.273)*ИД!B20</f>
        <v>817.4</v>
      </c>
      <c r="I49" s="201">
        <f t="shared" si="3"/>
        <v>817.4</v>
      </c>
      <c r="J49" s="53"/>
    </row>
    <row r="50" spans="1:10" s="50" customFormat="1" ht="18" customHeight="1">
      <c r="A50" s="48"/>
      <c r="B50" s="5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5034.8599999999997</v>
      </c>
      <c r="I50" s="18">
        <f>SUM(I45:I49)</f>
        <v>5034.8599999999997</v>
      </c>
      <c r="J50" s="53"/>
    </row>
    <row r="51" spans="1:10" s="22" customFormat="1" ht="18" customHeight="1">
      <c r="A51" s="28"/>
      <c r="B51" s="47"/>
      <c r="C51" s="17"/>
      <c r="D51" s="44" t="s">
        <v>44</v>
      </c>
      <c r="E51" s="18">
        <f>E40+E43+E50</f>
        <v>83423.17</v>
      </c>
      <c r="F51" s="18">
        <f>F40+F43+F50</f>
        <v>721.76</v>
      </c>
      <c r="G51" s="18">
        <f>G40+G43+G50</f>
        <v>74.86</v>
      </c>
      <c r="H51" s="18">
        <f>H40+H43+H50</f>
        <v>16943.09</v>
      </c>
      <c r="I51" s="18">
        <f>I40+I43+I50</f>
        <v>101162.88</v>
      </c>
      <c r="J51" s="41" t="b">
        <f>SUM(E51:H51)=I40+I43+I50</f>
        <v>1</v>
      </c>
    </row>
    <row r="52" spans="1:10" s="22" customFormat="1" ht="19.5" customHeight="1">
      <c r="A52" s="28"/>
      <c r="B52" s="281" t="s">
        <v>45</v>
      </c>
      <c r="C52" s="282"/>
      <c r="D52" s="282"/>
      <c r="E52" s="282"/>
      <c r="F52" s="282"/>
      <c r="G52" s="282"/>
      <c r="H52" s="282"/>
      <c r="I52" s="282"/>
    </row>
    <row r="53" spans="1:10" s="22" customFormat="1" ht="54.75" customHeight="1">
      <c r="A53" s="30">
        <f>ССРбаз!A53</f>
        <v>0.03</v>
      </c>
      <c r="B53" s="42">
        <f>B49+1</f>
        <v>15</v>
      </c>
      <c r="C53" s="24" t="str">
        <f>ИД!A37</f>
        <v>Методика утв. Приказом Минстрой РФ от 04.08.2020г. №421/пр п.179</v>
      </c>
      <c r="D53" s="45" t="s">
        <v>57</v>
      </c>
      <c r="E53" s="23">
        <f>E51*$A$53</f>
        <v>2502.6999999999998</v>
      </c>
      <c r="F53" s="23">
        <f>F51*$A$53</f>
        <v>21.65</v>
      </c>
      <c r="G53" s="23">
        <f t="shared" ref="G53:H53" si="4">G51*$A$53</f>
        <v>2.25</v>
      </c>
      <c r="H53" s="23">
        <f t="shared" si="4"/>
        <v>508.29</v>
      </c>
      <c r="I53" s="23">
        <f>SUM(E53:H53)</f>
        <v>3034.89</v>
      </c>
      <c r="J53" s="41"/>
    </row>
    <row r="54" spans="1:10" s="22" customFormat="1" ht="18" customHeight="1">
      <c r="A54" s="28"/>
      <c r="B54" s="34"/>
      <c r="C54" s="34"/>
      <c r="D54" s="44" t="s">
        <v>46</v>
      </c>
      <c r="E54" s="18">
        <f>E51+E53</f>
        <v>85925.87</v>
      </c>
      <c r="F54" s="18">
        <f>F51+F53</f>
        <v>743.41</v>
      </c>
      <c r="G54" s="18">
        <f>G51+G53</f>
        <v>77.11</v>
      </c>
      <c r="H54" s="18">
        <f>H51+H53</f>
        <v>17451.38</v>
      </c>
      <c r="I54" s="18">
        <f>I51+I53</f>
        <v>104197.77</v>
      </c>
      <c r="J54" s="41" t="b">
        <f>SUM(E54:H54)=I51+I53</f>
        <v>1</v>
      </c>
    </row>
    <row r="55" spans="1:10" s="22" customFormat="1" ht="18" customHeight="1">
      <c r="A55" s="28"/>
      <c r="B55" s="281" t="s">
        <v>47</v>
      </c>
      <c r="C55" s="282"/>
      <c r="D55" s="282"/>
      <c r="E55" s="282"/>
      <c r="F55" s="282"/>
      <c r="G55" s="282"/>
      <c r="H55" s="282"/>
      <c r="I55" s="282"/>
    </row>
    <row r="56" spans="1:10" s="22" customFormat="1" ht="35.25" customHeight="1">
      <c r="A56" s="30">
        <v>0.2</v>
      </c>
      <c r="B56" s="164">
        <f>B53+1</f>
        <v>16</v>
      </c>
      <c r="C56" s="12" t="s">
        <v>80</v>
      </c>
      <c r="D56" s="45" t="s">
        <v>48</v>
      </c>
      <c r="E56" s="23">
        <f>E54*$A$56</f>
        <v>17185.169999999998</v>
      </c>
      <c r="F56" s="23">
        <f t="shared" ref="F56:G56" si="5">F54*$A$56</f>
        <v>148.68</v>
      </c>
      <c r="G56" s="23">
        <f t="shared" si="5"/>
        <v>15.42</v>
      </c>
      <c r="H56" s="23">
        <f>(H54)*$A$56</f>
        <v>3490.28</v>
      </c>
      <c r="I56" s="23">
        <f>SUM(E56:H56)</f>
        <v>20839.55</v>
      </c>
      <c r="J56" s="41"/>
    </row>
    <row r="57" spans="1:10" s="22" customFormat="1" ht="36.75" customHeight="1">
      <c r="A57" s="28"/>
      <c r="B57" s="25"/>
      <c r="C57" s="26"/>
      <c r="D57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7" s="18">
        <f>E54+E56</f>
        <v>103111.03999999999</v>
      </c>
      <c r="F57" s="18">
        <f t="shared" ref="F57:I57" si="6">F54+F56</f>
        <v>892.09</v>
      </c>
      <c r="G57" s="18">
        <f t="shared" si="6"/>
        <v>92.53</v>
      </c>
      <c r="H57" s="18">
        <f t="shared" si="6"/>
        <v>20941.66</v>
      </c>
      <c r="I57" s="18">
        <f t="shared" si="6"/>
        <v>125037.32</v>
      </c>
      <c r="J57" s="41" t="b">
        <f>SUM(E57:H57)=I54+I56</f>
        <v>1</v>
      </c>
    </row>
    <row r="58" spans="1:10" s="188" customFormat="1" ht="18" customHeight="1">
      <c r="A58" s="193"/>
      <c r="B58" s="194"/>
      <c r="C58" s="195"/>
      <c r="D58" s="190" t="s">
        <v>110</v>
      </c>
      <c r="E58" s="27"/>
      <c r="F58" s="196"/>
      <c r="G58" s="196"/>
      <c r="H58" s="196"/>
      <c r="I58" s="27">
        <f>ИД!E40</f>
        <v>1442.3</v>
      </c>
    </row>
    <row r="59" spans="1:10">
      <c r="A59" s="32"/>
      <c r="B59" s="237"/>
      <c r="C59" s="237"/>
      <c r="D59" s="240" t="s">
        <v>141</v>
      </c>
      <c r="E59" s="238"/>
      <c r="F59" s="238"/>
      <c r="G59" s="238"/>
      <c r="H59" s="238"/>
      <c r="I59" s="239">
        <f>H46+H47+H48</f>
        <v>4029.23</v>
      </c>
      <c r="J59" s="38"/>
    </row>
    <row r="60" spans="1:10">
      <c r="A60" s="32"/>
      <c r="J60" s="38"/>
    </row>
    <row r="61" spans="1:10">
      <c r="A61" s="32"/>
      <c r="C61" s="43" t="str">
        <f>CONCATENATE(ИД!$A$6,ИД!$B$5)</f>
        <v>Генеральный директор  ООО "ИВЦ "Энергоактив""</v>
      </c>
      <c r="D61" s="1"/>
      <c r="E61" s="283"/>
      <c r="F61" s="283"/>
      <c r="G61" s="283"/>
      <c r="H61" s="58" t="str">
        <f>ИД!$B$6</f>
        <v>С.В. Лопашук</v>
      </c>
      <c r="I61" s="1"/>
      <c r="J61" s="38"/>
    </row>
    <row r="62" spans="1:10">
      <c r="A62" s="32"/>
      <c r="C62" s="3"/>
      <c r="D62" s="58"/>
      <c r="E62" s="9"/>
      <c r="F62" s="9"/>
      <c r="G62" s="9"/>
      <c r="H62" s="58"/>
      <c r="I62" s="9"/>
      <c r="J62" s="38"/>
    </row>
    <row r="63" spans="1:10">
      <c r="A63" s="32"/>
      <c r="C63" s="3"/>
      <c r="D63" s="58"/>
      <c r="E63" s="9"/>
      <c r="F63" s="9"/>
      <c r="G63" s="9"/>
      <c r="H63" s="58"/>
      <c r="I63" s="9"/>
      <c r="J63" s="38"/>
    </row>
    <row r="64" spans="1:10">
      <c r="A64" s="32"/>
      <c r="C64" s="43" t="str">
        <f>CONCATENATE(ИД!$A$7,ИД!$B$5)</f>
        <v>Главный инженер проекта ООО "ИВЦ "Энергоактив""</v>
      </c>
      <c r="D64" s="1"/>
      <c r="E64" s="283"/>
      <c r="F64" s="283"/>
      <c r="G64" s="283"/>
      <c r="H64" s="109" t="str">
        <f>ИД!B7</f>
        <v>Н.В.Петров</v>
      </c>
      <c r="I64" s="1"/>
      <c r="J64" s="38"/>
    </row>
    <row r="65" spans="1:10">
      <c r="A65" s="32"/>
      <c r="C65" s="3"/>
      <c r="D65" s="58"/>
      <c r="E65" s="9"/>
      <c r="F65" s="9"/>
      <c r="G65" s="9"/>
      <c r="H65" s="58"/>
      <c r="I65" s="9"/>
      <c r="J65" s="38"/>
    </row>
    <row r="66" spans="1:10">
      <c r="A66" s="32"/>
      <c r="C66" s="3"/>
      <c r="D66" s="58"/>
      <c r="E66" s="9"/>
      <c r="F66" s="9"/>
      <c r="G66" s="9"/>
      <c r="H66" s="58"/>
      <c r="I66" s="9"/>
      <c r="J66" s="38"/>
    </row>
    <row r="67" spans="1:10">
      <c r="A67" s="32"/>
      <c r="C67" s="3" t="s">
        <v>50</v>
      </c>
      <c r="D67" s="58"/>
      <c r="E67" s="226"/>
      <c r="F67" s="226"/>
      <c r="G67" s="226"/>
      <c r="H67" s="58"/>
      <c r="I67" s="9"/>
      <c r="J67" s="38"/>
    </row>
    <row r="68" spans="1:10" ht="24.75" customHeight="1">
      <c r="A68" s="32"/>
      <c r="C68" s="284"/>
      <c r="D68" s="284"/>
      <c r="E68" s="280"/>
      <c r="F68" s="280"/>
      <c r="G68" s="280"/>
      <c r="H68" s="62"/>
      <c r="I68" s="9"/>
      <c r="J68" s="38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2:I22"/>
    <mergeCell ref="B55:I55"/>
    <mergeCell ref="B29:I29"/>
    <mergeCell ref="B33:I33"/>
    <mergeCell ref="B41:I41"/>
    <mergeCell ref="B52:I52"/>
    <mergeCell ref="B25:I25"/>
    <mergeCell ref="E68:G68"/>
    <mergeCell ref="B44:I44"/>
    <mergeCell ref="E61:G61"/>
    <mergeCell ref="E64:G64"/>
    <mergeCell ref="C68:D6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6" t="str">
        <f>CONCATENATE(ИД!$B$10,ИД!$C$11)</f>
        <v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м, D=530мм)</v>
      </c>
      <c r="C1" s="296"/>
      <c r="D1" s="296"/>
      <c r="E1" s="296"/>
      <c r="F1" s="296"/>
      <c r="G1" s="296"/>
      <c r="H1" s="296"/>
      <c r="I1" s="296"/>
    </row>
    <row r="2" spans="1:9">
      <c r="B2" s="297" t="s">
        <v>12</v>
      </c>
      <c r="C2" s="297"/>
      <c r="D2" s="297"/>
      <c r="E2" s="297"/>
      <c r="F2" s="297"/>
      <c r="G2" s="297"/>
      <c r="H2" s="297"/>
      <c r="I2" s="297"/>
    </row>
    <row r="4" spans="1:9" ht="15.75">
      <c r="B4" s="298" t="s">
        <v>87</v>
      </c>
      <c r="C4" s="298"/>
      <c r="D4" s="298"/>
      <c r="E4" s="298"/>
      <c r="F4" s="298"/>
      <c r="G4" s="298"/>
      <c r="H4" s="298"/>
      <c r="I4" s="298"/>
    </row>
    <row r="5" spans="1:9" ht="15.75">
      <c r="B5" s="298" t="s">
        <v>98</v>
      </c>
      <c r="C5" s="298"/>
      <c r="D5" s="298"/>
      <c r="E5" s="298"/>
      <c r="F5" s="298"/>
      <c r="G5" s="298"/>
      <c r="H5" s="298"/>
      <c r="I5" s="298"/>
    </row>
    <row r="6" spans="1:9" ht="15.75">
      <c r="B6" s="123"/>
      <c r="C6" s="123"/>
      <c r="D6" s="123"/>
      <c r="E6" s="123"/>
      <c r="F6" s="123"/>
      <c r="G6" s="123"/>
      <c r="H6" s="123"/>
      <c r="I6" s="123"/>
    </row>
    <row r="7" spans="1:9" s="63" customFormat="1" ht="13.5">
      <c r="A7" s="108"/>
      <c r="B7" s="64"/>
      <c r="C7" s="64"/>
      <c r="D7" s="299" t="s">
        <v>62</v>
      </c>
      <c r="E7" s="299"/>
      <c r="F7" s="299"/>
      <c r="G7" s="299"/>
      <c r="H7" s="299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5" t="s">
        <v>63</v>
      </c>
      <c r="E9" s="295"/>
      <c r="F9" s="295"/>
      <c r="G9" s="295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300" t="s">
        <v>64</v>
      </c>
      <c r="E10" s="300"/>
      <c r="F10" s="300"/>
      <c r="G10" s="300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300" t="s">
        <v>65</v>
      </c>
      <c r="E11" s="300"/>
      <c r="F11" s="300"/>
      <c r="G11" s="300"/>
      <c r="H11" s="69" t="e">
        <f>H9/H10*1000</f>
        <v>#REF!</v>
      </c>
      <c r="I11" s="125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99</v>
      </c>
      <c r="E13" s="73"/>
      <c r="F13" s="73"/>
      <c r="G13" s="73"/>
      <c r="H13" s="73"/>
      <c r="I13" s="73"/>
    </row>
    <row r="14" spans="1:9" ht="15.75">
      <c r="B14" s="123"/>
      <c r="C14" s="123"/>
      <c r="D14" s="59"/>
      <c r="E14" s="59"/>
      <c r="F14" s="59"/>
      <c r="G14" s="35"/>
      <c r="H14" s="33"/>
      <c r="I14" s="123"/>
    </row>
    <row r="15" spans="1:9" ht="15" customHeight="1">
      <c r="B15" s="301" t="s">
        <v>16</v>
      </c>
      <c r="C15" s="301" t="s">
        <v>67</v>
      </c>
      <c r="D15" s="301" t="s">
        <v>68</v>
      </c>
      <c r="E15" s="301" t="s">
        <v>17</v>
      </c>
      <c r="F15" s="301"/>
      <c r="G15" s="301"/>
      <c r="H15" s="301"/>
      <c r="I15" s="301"/>
    </row>
    <row r="16" spans="1:9" ht="85.5" customHeight="1">
      <c r="B16" s="301"/>
      <c r="C16" s="301"/>
      <c r="D16" s="301"/>
      <c r="E16" s="74" t="s">
        <v>69</v>
      </c>
      <c r="F16" s="124" t="s">
        <v>15</v>
      </c>
      <c r="G16" s="124" t="s">
        <v>70</v>
      </c>
      <c r="H16" s="124" t="s">
        <v>71</v>
      </c>
      <c r="I16" s="124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Zeros="0" tabSelected="1" view="pageBreakPreview" topLeftCell="A42" zoomScaleNormal="100" zoomScaleSheetLayoutView="100" workbookViewId="0">
      <selection activeCell="K29" sqref="K29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1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292" t="str">
        <f>ИД!B2</f>
        <v>ООО "Системы Энергосбережения"</v>
      </c>
      <c r="E2" s="292"/>
      <c r="F2" s="292"/>
      <c r="G2" s="292"/>
      <c r="H2" s="292"/>
      <c r="I2" s="2"/>
    </row>
    <row r="3" spans="2:9">
      <c r="B3" s="2"/>
      <c r="C3" s="3"/>
      <c r="D3" s="293" t="s">
        <v>10</v>
      </c>
      <c r="E3" s="293"/>
      <c r="F3" s="293"/>
      <c r="G3" s="293"/>
      <c r="H3" s="293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51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"&amp;I54&amp;"     тыс.руб."</f>
        <v xml:space="preserve"> Сводный сметный расчет сметной стоимостью     7215,69     тыс.руб.</v>
      </c>
      <c r="D6" s="51"/>
      <c r="E6" s="2"/>
      <c r="F6" s="7"/>
      <c r="G6" s="2"/>
      <c r="H6" s="2"/>
      <c r="I6" s="2"/>
    </row>
    <row r="7" spans="2:9">
      <c r="B7" s="2"/>
      <c r="C7" s="8"/>
      <c r="D7" s="292"/>
      <c r="E7" s="292"/>
      <c r="F7" s="292"/>
      <c r="G7" s="292"/>
      <c r="H7" s="292"/>
      <c r="I7" s="2"/>
    </row>
    <row r="8" spans="2:9">
      <c r="B8" s="2"/>
      <c r="C8" s="3"/>
      <c r="D8" s="293" t="s">
        <v>11</v>
      </c>
      <c r="E8" s="293"/>
      <c r="F8" s="293"/>
      <c r="G8" s="293"/>
      <c r="H8" s="293"/>
      <c r="I8" s="2"/>
    </row>
    <row r="9" spans="2:9">
      <c r="B9" s="2"/>
      <c r="C9" s="3"/>
      <c r="D9" s="51"/>
      <c r="E9" s="9"/>
      <c r="F9" s="9"/>
      <c r="G9" s="9"/>
      <c r="H9" s="2"/>
      <c r="I9" s="2"/>
    </row>
    <row r="10" spans="2:9" ht="18.75" customHeight="1">
      <c r="B10" s="2"/>
      <c r="C10" s="3"/>
      <c r="D10" s="294" t="s">
        <v>106</v>
      </c>
      <c r="E10" s="294"/>
      <c r="F10" s="294"/>
      <c r="G10" s="294"/>
      <c r="H10" s="294"/>
      <c r="I10" s="2"/>
    </row>
    <row r="11" spans="2:9">
      <c r="B11" s="2"/>
      <c r="C11" s="3"/>
      <c r="D11" s="51"/>
      <c r="E11" s="9"/>
      <c r="F11" s="9"/>
      <c r="G11" s="2"/>
      <c r="H11" s="2"/>
      <c r="I11" s="2"/>
    </row>
    <row r="12" spans="2:9" ht="29.25" customHeight="1">
      <c r="B12" s="2"/>
      <c r="C12" s="3"/>
      <c r="D12" s="291" t="str">
        <f>CONCATENATE(ИД!B10,ИД!C11)</f>
        <v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м, D=530мм)</v>
      </c>
      <c r="E12" s="291"/>
      <c r="F12" s="291"/>
      <c r="G12" s="291"/>
      <c r="H12" s="291"/>
      <c r="I12" s="2"/>
    </row>
    <row r="13" spans="2:9">
      <c r="B13" s="2"/>
      <c r="C13" s="3"/>
      <c r="D13" s="293" t="s">
        <v>12</v>
      </c>
      <c r="E13" s="293"/>
      <c r="F13" s="293"/>
      <c r="G13" s="293"/>
      <c r="H13" s="293"/>
      <c r="I13" s="2"/>
    </row>
    <row r="14" spans="2:9" ht="21" customHeight="1">
      <c r="B14" s="286" t="s">
        <v>27</v>
      </c>
      <c r="C14" s="286"/>
      <c r="D14" s="286"/>
      <c r="E14" s="286"/>
      <c r="F14" s="286"/>
      <c r="G14" s="286"/>
      <c r="H14" s="286"/>
      <c r="I14" s="286"/>
    </row>
    <row r="15" spans="2:9" ht="15" customHeight="1">
      <c r="B15" s="287" t="s">
        <v>13</v>
      </c>
      <c r="C15" s="288" t="s">
        <v>67</v>
      </c>
      <c r="D15" s="287" t="s">
        <v>77</v>
      </c>
      <c r="E15" s="302" t="s">
        <v>14</v>
      </c>
      <c r="F15" s="302"/>
      <c r="G15" s="302"/>
      <c r="H15" s="302"/>
      <c r="I15" s="302"/>
    </row>
    <row r="16" spans="2:9" ht="81.75" customHeight="1">
      <c r="B16" s="287"/>
      <c r="C16" s="288"/>
      <c r="D16" s="287"/>
      <c r="E16" s="103" t="s">
        <v>78</v>
      </c>
      <c r="F16" s="103" t="s">
        <v>15</v>
      </c>
      <c r="G16" s="103" t="s">
        <v>70</v>
      </c>
      <c r="H16" s="103" t="s">
        <v>79</v>
      </c>
      <c r="I16" s="103" t="s">
        <v>18</v>
      </c>
    </row>
    <row r="17" spans="1:14">
      <c r="B17" s="57">
        <v>1</v>
      </c>
      <c r="C17" s="10">
        <v>2</v>
      </c>
      <c r="D17" s="57">
        <v>3</v>
      </c>
      <c r="E17" s="57">
        <v>4</v>
      </c>
      <c r="F17" s="57">
        <v>5</v>
      </c>
      <c r="G17" s="57">
        <v>6</v>
      </c>
      <c r="H17" s="57">
        <v>7</v>
      </c>
      <c r="I17" s="57">
        <v>8</v>
      </c>
    </row>
    <row r="18" spans="1:14" s="22" customFormat="1" ht="21" customHeight="1">
      <c r="A18" s="28"/>
      <c r="B18" s="281" t="s">
        <v>29</v>
      </c>
      <c r="C18" s="282"/>
      <c r="D18" s="282"/>
      <c r="E18" s="282"/>
      <c r="F18" s="282"/>
      <c r="G18" s="282"/>
      <c r="H18" s="282"/>
      <c r="I18" s="282"/>
      <c r="J18" s="38"/>
    </row>
    <row r="19" spans="1:14" s="22" customFormat="1" ht="28.5" hidden="1" customHeight="1">
      <c r="A19" s="28"/>
      <c r="B19" s="215">
        <v>1</v>
      </c>
      <c r="C19" s="216" t="str">
        <f>ИД!A23</f>
        <v>15-12-22-2-ООС</v>
      </c>
      <c r="D19" s="216" t="str">
        <f>CONCATENATE(ИД!B23,"(",ИД!E23,"/",ИД!B15,")")</f>
        <v>Компенсационные выплаты за снос зеленых насаждений(0/14,17)</v>
      </c>
      <c r="E19" s="216"/>
      <c r="F19" s="216"/>
      <c r="G19" s="216"/>
      <c r="H19" s="218">
        <f>ИД!E23/ИД!B15</f>
        <v>0</v>
      </c>
      <c r="I19" s="218">
        <f>SUM(E19:H19)</f>
        <v>0</v>
      </c>
      <c r="J19" s="38"/>
    </row>
    <row r="20" spans="1:14" s="22" customFormat="1" ht="26.25" customHeight="1">
      <c r="A20" s="28"/>
      <c r="B20" s="39">
        <v>1</v>
      </c>
      <c r="C20" s="23" t="s">
        <v>85</v>
      </c>
      <c r="D20" s="24" t="s">
        <v>144</v>
      </c>
      <c r="E20" s="23">
        <v>48.96</v>
      </c>
      <c r="F20" s="23"/>
      <c r="G20" s="23"/>
      <c r="H20" s="23"/>
      <c r="I20" s="23">
        <f t="shared" ref="I20" si="0">SUM(E20:H20)</f>
        <v>48.96</v>
      </c>
      <c r="J20" s="38"/>
      <c r="L20" s="209"/>
    </row>
    <row r="21" spans="1:14" s="22" customFormat="1" ht="20.100000000000001" customHeight="1">
      <c r="A21" s="28"/>
      <c r="B21" s="39"/>
      <c r="C21" s="20"/>
      <c r="D21" s="21" t="s">
        <v>33</v>
      </c>
      <c r="E21" s="18">
        <f>SUM(E19:E20)</f>
        <v>48.96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48.96</v>
      </c>
      <c r="J21" s="41" t="b">
        <f>SUM(E21:H21)=SUM(I19:I20)</f>
        <v>1</v>
      </c>
    </row>
    <row r="22" spans="1:14" s="22" customFormat="1" ht="20.100000000000001" customHeight="1">
      <c r="A22" s="28"/>
      <c r="B22" s="281" t="s">
        <v>34</v>
      </c>
      <c r="C22" s="282"/>
      <c r="D22" s="282"/>
      <c r="E22" s="282"/>
      <c r="F22" s="282"/>
      <c r="G22" s="282"/>
      <c r="H22" s="282"/>
      <c r="I22" s="282"/>
      <c r="J22" s="38"/>
    </row>
    <row r="23" spans="1:14" s="22" customFormat="1" ht="26.25" customHeight="1">
      <c r="A23" s="28"/>
      <c r="B23" s="39">
        <f>B20+1</f>
        <v>2</v>
      </c>
      <c r="C23" s="23" t="s">
        <v>86</v>
      </c>
      <c r="D23" s="24" t="s">
        <v>142</v>
      </c>
      <c r="E23" s="23">
        <v>4367.8999999999996</v>
      </c>
      <c r="F23" s="23">
        <v>16.489999999999998</v>
      </c>
      <c r="G23" s="23">
        <v>14.02</v>
      </c>
      <c r="H23" s="23"/>
      <c r="I23" s="23">
        <f>SUM(E23:H23)</f>
        <v>4398.41</v>
      </c>
      <c r="J23" s="38"/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4367.8999999999996</v>
      </c>
      <c r="F24" s="18">
        <f>SUM(F23:F23)</f>
        <v>16.489999999999998</v>
      </c>
      <c r="G24" s="18">
        <f>SUM(G23:G23)</f>
        <v>14.02</v>
      </c>
      <c r="H24" s="18">
        <f>SUM(H23:H23)</f>
        <v>0</v>
      </c>
      <c r="I24" s="18">
        <f>SUM(I23:I23)</f>
        <v>4398.41</v>
      </c>
      <c r="J24" s="41" t="b">
        <f>SUM(E24:H24)=SUM(I23:I23)</f>
        <v>1</v>
      </c>
    </row>
    <row r="25" spans="1:14" s="22" customFormat="1" ht="22.5" customHeight="1">
      <c r="A25" s="28"/>
      <c r="B25" s="281" t="s">
        <v>83</v>
      </c>
      <c r="C25" s="282"/>
      <c r="D25" s="282"/>
      <c r="E25" s="282"/>
      <c r="F25" s="282"/>
      <c r="G25" s="282"/>
      <c r="H25" s="282"/>
      <c r="I25" s="282"/>
      <c r="J25" s="41"/>
    </row>
    <row r="26" spans="1:14" s="109" customFormat="1" ht="30.75" customHeight="1">
      <c r="A26" s="29"/>
      <c r="B26" s="121">
        <f>B23+1</f>
        <v>3</v>
      </c>
      <c r="C26" s="157" t="s">
        <v>92</v>
      </c>
      <c r="D26" s="40" t="s">
        <v>143</v>
      </c>
      <c r="E26" s="36">
        <v>893.53</v>
      </c>
      <c r="F26" s="36"/>
      <c r="G26" s="36"/>
      <c r="H26" s="36"/>
      <c r="I26" s="157">
        <f>SUM(E26:H26)</f>
        <v>893.53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893.53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893.53</v>
      </c>
      <c r="J27" s="41"/>
    </row>
    <row r="28" spans="1:14" s="22" customFormat="1" ht="20.100000000000001" customHeight="1">
      <c r="A28" s="29"/>
      <c r="B28" s="167"/>
      <c r="C28" s="17"/>
      <c r="D28" s="165" t="s">
        <v>36</v>
      </c>
      <c r="E28" s="18">
        <f>E21+E24+E27</f>
        <v>5310.39</v>
      </c>
      <c r="F28" s="18">
        <f>F21+F24+F27</f>
        <v>16.489999999999998</v>
      </c>
      <c r="G28" s="18">
        <f>G21+G24+G27</f>
        <v>14.02</v>
      </c>
      <c r="H28" s="18">
        <f>H21+H24+H27</f>
        <v>0</v>
      </c>
      <c r="I28" s="18">
        <f>I21+I24+I27</f>
        <v>5340.9</v>
      </c>
      <c r="J28" s="41" t="b">
        <f>SUM(E28:H28)=I21+I24+I27</f>
        <v>1</v>
      </c>
      <c r="K28" s="208">
        <f>E20+E23+F23+E26+G23</f>
        <v>5340.9</v>
      </c>
      <c r="L28" s="208"/>
      <c r="M28" s="208"/>
      <c r="N28" s="208"/>
    </row>
    <row r="29" spans="1:14" s="22" customFormat="1" ht="20.100000000000001" customHeight="1">
      <c r="A29" s="28"/>
      <c r="B29" s="281" t="s">
        <v>37</v>
      </c>
      <c r="C29" s="282"/>
      <c r="D29" s="282"/>
      <c r="E29" s="282"/>
      <c r="F29" s="282"/>
      <c r="G29" s="282"/>
      <c r="H29" s="282"/>
      <c r="I29" s="282"/>
      <c r="J29" s="38"/>
    </row>
    <row r="30" spans="1:14" s="22" customFormat="1" ht="66.75" customHeight="1">
      <c r="A30" s="31">
        <f>ИД!$G$25%</f>
        <v>1.9199999999999998E-2</v>
      </c>
      <c r="B30" s="154">
        <f>B26+1</f>
        <v>4</v>
      </c>
      <c r="C30" s="170" t="str">
        <f>ИД!$A$25</f>
        <v>Методика утв. Приказом Минстрой РФ от 19.06.20г. №332/пр, Приложение 1, п.53</v>
      </c>
      <c r="D30" s="171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37">
        <f>E28*A30</f>
        <v>101.96</v>
      </c>
      <c r="F30" s="37">
        <f>F28*A30</f>
        <v>0.32</v>
      </c>
      <c r="G30" s="23"/>
      <c r="H30" s="23"/>
      <c r="I30" s="23">
        <f>SUM(E30:H30)</f>
        <v>102.28</v>
      </c>
      <c r="J30" s="38"/>
    </row>
    <row r="31" spans="1:14" s="22" customFormat="1" ht="20.100000000000001" customHeight="1">
      <c r="A31" s="28"/>
      <c r="B31" s="19"/>
      <c r="C31" s="24"/>
      <c r="D31" s="21" t="s">
        <v>38</v>
      </c>
      <c r="E31" s="18">
        <f>SUM(E30:E30)</f>
        <v>101.96</v>
      </c>
      <c r="F31" s="18">
        <f>SUM(F30:F30)</f>
        <v>0.32</v>
      </c>
      <c r="G31" s="18">
        <f>SUM(G30:G30)</f>
        <v>0</v>
      </c>
      <c r="H31" s="18">
        <f>SUM(H30:H30)</f>
        <v>0</v>
      </c>
      <c r="I31" s="18">
        <f>SUM(I30:I30)</f>
        <v>102.28</v>
      </c>
      <c r="J31" s="41" t="b">
        <f>SUM(E31:H31)=SUM(I30:I30)</f>
        <v>1</v>
      </c>
    </row>
    <row r="32" spans="1:14" s="22" customFormat="1" ht="20.100000000000001" customHeight="1">
      <c r="A32" s="28"/>
      <c r="B32" s="167"/>
      <c r="C32" s="17"/>
      <c r="D32" s="165" t="s">
        <v>39</v>
      </c>
      <c r="E32" s="18">
        <f>E28+E31</f>
        <v>5412.35</v>
      </c>
      <c r="F32" s="18">
        <f>F28+F31</f>
        <v>16.809999999999999</v>
      </c>
      <c r="G32" s="18">
        <f>G28+G31</f>
        <v>14.02</v>
      </c>
      <c r="H32" s="18">
        <f>H28+H31</f>
        <v>0</v>
      </c>
      <c r="I32" s="18">
        <f>I28+I31</f>
        <v>5443.18</v>
      </c>
      <c r="J32" s="41" t="b">
        <f>SUM(E32:H32)=I28+I31</f>
        <v>1</v>
      </c>
    </row>
    <row r="33" spans="1:10" s="22" customFormat="1" ht="18" customHeight="1">
      <c r="A33" s="28"/>
      <c r="B33" s="281" t="s">
        <v>40</v>
      </c>
      <c r="C33" s="282"/>
      <c r="D33" s="282"/>
      <c r="E33" s="282"/>
      <c r="F33" s="282"/>
      <c r="G33" s="282"/>
      <c r="H33" s="282"/>
      <c r="I33" s="282"/>
      <c r="J33" s="38"/>
    </row>
    <row r="34" spans="1:10" s="22" customFormat="1" ht="30.75" customHeight="1">
      <c r="A34" s="28"/>
      <c r="B34" s="154">
        <f>B30+1</f>
        <v>5</v>
      </c>
      <c r="C34" s="24" t="str">
        <f>ИД!A26</f>
        <v>СР-1</v>
      </c>
      <c r="D34" s="24" t="str">
        <f>CONCATENATE(ИД!B26," ","(",ИД!E26,"/",1.2,"/",ИД!B15,")")</f>
        <v>Стоимость размещения отходов на полигоне ТБО (9017,04/1,2/14,17)</v>
      </c>
      <c r="E34" s="23"/>
      <c r="F34" s="23"/>
      <c r="G34" s="23"/>
      <c r="H34" s="23">
        <f>ССРтек!H34/ИД!B15</f>
        <v>530.29</v>
      </c>
      <c r="I34" s="36">
        <f t="shared" ref="I34:I37" si="1">SUM(E34:H34)</f>
        <v>530.29</v>
      </c>
      <c r="J34" s="38"/>
    </row>
    <row r="35" spans="1:10" s="22" customFormat="1" ht="40.5" customHeight="1">
      <c r="A35" s="28"/>
      <c r="B35" s="154">
        <f>B34+1</f>
        <v>6</v>
      </c>
      <c r="C35" s="24" t="str">
        <f>ИД!A27</f>
        <v>15-12-22-2-ООС  таб.3.1</v>
      </c>
      <c r="D35" s="24" t="str">
        <f>CONCATENATE(ИД!B27,"(",ИД!E27,"/",ИД!B15,")")</f>
        <v>Расчёт платы за негативное воздействие на окружающую среду (выбросы загрязняющих веществ в атмосферу)(0,52/14,17)</v>
      </c>
      <c r="E35" s="23"/>
      <c r="F35" s="23"/>
      <c r="G35" s="23"/>
      <c r="H35" s="23">
        <f>ИД!E27/ИД!B15</f>
        <v>0.04</v>
      </c>
      <c r="I35" s="36">
        <f>SUM(E35:H35)</f>
        <v>0.04</v>
      </c>
      <c r="J35" s="38"/>
    </row>
    <row r="36" spans="1:10" s="109" customFormat="1" ht="37.5" customHeight="1">
      <c r="A36" s="29"/>
      <c r="B36" s="154">
        <f>B35+1</f>
        <v>7</v>
      </c>
      <c r="C36" s="161" t="str">
        <f>ИД!A28</f>
        <v>15-12-22-2-ООС таб.3.1</v>
      </c>
      <c r="D36" s="161" t="str">
        <f>CONCATENATE(ИД!B28,"
(",ИД!E28,"/",ИД!$B$15,")")</f>
        <v>Расчёт платы за негативное воздействие на окружающую среду (размещеие отходов)
(2368,94/14,17)</v>
      </c>
      <c r="E36" s="162"/>
      <c r="F36" s="162"/>
      <c r="G36" s="162"/>
      <c r="H36" s="163">
        <f>ИД!E28/ИД!B15</f>
        <v>167.18</v>
      </c>
      <c r="I36" s="197">
        <f t="shared" si="1"/>
        <v>167.18</v>
      </c>
      <c r="J36" s="158"/>
    </row>
    <row r="37" spans="1:10" s="109" customFormat="1" ht="51" hidden="1">
      <c r="A37" s="29"/>
      <c r="B37" s="154">
        <f t="shared" ref="B37" si="2"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(",ИД!E29,"/1,2/1000/",ИД!$B$15,")")</f>
        <v>Плата за технологическое присоединение к сетям АО "ДРСК" (0/1,2/1000/14,17)</v>
      </c>
      <c r="E37" s="183"/>
      <c r="F37" s="183"/>
      <c r="G37" s="183"/>
      <c r="H37" s="183"/>
      <c r="I37" s="184">
        <f t="shared" si="1"/>
        <v>0</v>
      </c>
      <c r="J37" s="158"/>
    </row>
    <row r="38" spans="1:10" s="109" customFormat="1" ht="27" customHeight="1">
      <c r="A38" s="29"/>
      <c r="B38" s="154">
        <f>B36+1</f>
        <v>8</v>
      </c>
      <c r="C38" s="156" t="str">
        <f>ИД!A30</f>
        <v>15-12-22-2-ООС  таб.3.1</v>
      </c>
      <c r="D38" s="156" t="str">
        <f>CONCATENATE(ИД!B30,"(",ИД!E30,"/",ИД!B15,")")</f>
        <v>Расчет затрат на экологический мониторинг(10,53/14,17)</v>
      </c>
      <c r="E38" s="157"/>
      <c r="F38" s="157"/>
      <c r="G38" s="157"/>
      <c r="H38" s="157">
        <f>ИД!E30/ИД!B15</f>
        <v>0.74</v>
      </c>
      <c r="I38" s="36">
        <f>SUM(E38:H38)</f>
        <v>0.74</v>
      </c>
      <c r="J38" s="158"/>
    </row>
    <row r="39" spans="1:10" s="22" customFormat="1" ht="18" customHeight="1">
      <c r="A39" s="28"/>
      <c r="B39" s="19"/>
      <c r="C39" s="20"/>
      <c r="D39" s="21" t="s">
        <v>41</v>
      </c>
      <c r="E39" s="18">
        <f>SUM(E34:E38)</f>
        <v>0</v>
      </c>
      <c r="F39" s="18">
        <f t="shared" ref="F39:I39" si="3">SUM(F34:F38)</f>
        <v>0</v>
      </c>
      <c r="G39" s="18">
        <f t="shared" si="3"/>
        <v>0</v>
      </c>
      <c r="H39" s="18">
        <f t="shared" si="3"/>
        <v>698.25</v>
      </c>
      <c r="I39" s="18">
        <f t="shared" si="3"/>
        <v>698.25</v>
      </c>
      <c r="J39" s="41" t="b">
        <f>SUM(E39:H39)=SUM(I34:I38)</f>
        <v>1</v>
      </c>
    </row>
    <row r="40" spans="1:10" s="22" customFormat="1" ht="18" customHeight="1">
      <c r="A40" s="28"/>
      <c r="B40" s="167"/>
      <c r="C40" s="17"/>
      <c r="D40" s="165" t="s">
        <v>42</v>
      </c>
      <c r="E40" s="18">
        <f>E32+E39</f>
        <v>5412.35</v>
      </c>
      <c r="F40" s="18">
        <f>F32+F39</f>
        <v>16.809999999999999</v>
      </c>
      <c r="G40" s="18">
        <f>G32+G39</f>
        <v>14.02</v>
      </c>
      <c r="H40" s="18">
        <f>H32+H39</f>
        <v>698.25</v>
      </c>
      <c r="I40" s="18">
        <f>I32+I39</f>
        <v>6141.43</v>
      </c>
      <c r="J40" s="41" t="b">
        <f>SUM(E40:H40)=I32+I39</f>
        <v>1</v>
      </c>
    </row>
    <row r="41" spans="1:10" s="22" customFormat="1" ht="18" customHeight="1">
      <c r="A41" s="28"/>
      <c r="B41" s="281" t="s">
        <v>54</v>
      </c>
      <c r="C41" s="282"/>
      <c r="D41" s="282"/>
      <c r="E41" s="282"/>
      <c r="F41" s="282"/>
      <c r="G41" s="282"/>
      <c r="H41" s="282"/>
      <c r="I41" s="282"/>
      <c r="J41" s="38"/>
    </row>
    <row r="42" spans="1:10" s="22" customFormat="1" ht="45.75" customHeight="1">
      <c r="A42" s="104">
        <f>ИД!D31%</f>
        <v>2.1399999999999999E-2</v>
      </c>
      <c r="B42" s="52">
        <f>B38+1</f>
        <v>9</v>
      </c>
      <c r="C42" s="105" t="str">
        <f>ИД!A31</f>
        <v>Постановление Правительства РФ от 21.06.2010г. №468</v>
      </c>
      <c r="D42" s="40" t="str">
        <f>CONCATENATE(ИД!B31," ","-"," ",ИД!D31,ИД!E31," ","от"," ",ССРбаз!I40)</f>
        <v>Строительный контроль - 2,14% от 6141,43</v>
      </c>
      <c r="E42" s="18"/>
      <c r="F42" s="18"/>
      <c r="G42" s="18"/>
      <c r="H42" s="37">
        <f>I40*$A$42</f>
        <v>131.43</v>
      </c>
      <c r="I42" s="37">
        <f>SUM(E42:H42)</f>
        <v>131.43</v>
      </c>
      <c r="J42" s="38"/>
    </row>
    <row r="43" spans="1:10" s="22" customFormat="1" ht="18" customHeight="1">
      <c r="A43" s="28"/>
      <c r="B43" s="167"/>
      <c r="C43" s="17"/>
      <c r="D43" s="21" t="s">
        <v>56</v>
      </c>
      <c r="E43" s="18"/>
      <c r="F43" s="18"/>
      <c r="G43" s="18"/>
      <c r="H43" s="18">
        <f>SUM(H42:H42)</f>
        <v>131.43</v>
      </c>
      <c r="I43" s="18">
        <f>SUM(I42:I42)</f>
        <v>131.43</v>
      </c>
      <c r="J43" s="38"/>
    </row>
    <row r="44" spans="1:10" s="174" customFormat="1" ht="56.1" customHeight="1">
      <c r="A44" s="172"/>
      <c r="B44" s="281" t="s">
        <v>76</v>
      </c>
      <c r="C44" s="282"/>
      <c r="D44" s="282"/>
      <c r="E44" s="282"/>
      <c r="F44" s="282"/>
      <c r="G44" s="282"/>
      <c r="H44" s="282"/>
      <c r="I44" s="282"/>
      <c r="J44" s="173"/>
    </row>
    <row r="45" spans="1:10" s="174" customFormat="1" ht="56.25" customHeight="1">
      <c r="A45" s="104">
        <v>2E-3</v>
      </c>
      <c r="B45" s="52">
        <f>B42+1</f>
        <v>10</v>
      </c>
      <c r="C45" s="170" t="str">
        <f>ИД!A32</f>
        <v>Методика утв. Приказом Минстрой РФ от 04.08.2020г. №421/пр п.173</v>
      </c>
      <c r="D45" s="40" t="str">
        <f>CONCATENATE(ИД!$B$32," - ",ИД!$D$32,ИД!$E$32," от ",I40,"
")</f>
        <v xml:space="preserve">Авторский надзор  - 0,2% от 6141,43
</v>
      </c>
      <c r="E45" s="27"/>
      <c r="F45" s="27"/>
      <c r="G45" s="27"/>
      <c r="H45" s="37">
        <f>I40*$A$45</f>
        <v>12.28</v>
      </c>
      <c r="I45" s="36">
        <f>SUM(E45:H45)</f>
        <v>12.28</v>
      </c>
      <c r="J45" s="173"/>
    </row>
    <row r="46" spans="1:10" s="174" customFormat="1" ht="56.25" customHeight="1">
      <c r="A46" s="172"/>
      <c r="B46" s="202">
        <f>B45+1</f>
        <v>11</v>
      </c>
      <c r="C46" s="203" t="str">
        <f>ИД!A33</f>
        <v xml:space="preserve"> Смета №1-4</v>
      </c>
      <c r="D46" s="204" t="str">
        <f>CONCATENATE(ИД!B33," ","(",ИД!D33,"/",ИД!E17,")")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(217,3/1,266)</v>
      </c>
      <c r="E46" s="205"/>
      <c r="F46" s="205"/>
      <c r="G46" s="205"/>
      <c r="H46" s="206">
        <f>ИД!D33/ИД!E17</f>
        <v>171.64</v>
      </c>
      <c r="I46" s="197">
        <f t="shared" ref="I46:I49" si="4">SUM(E46:H46)</f>
        <v>171.64</v>
      </c>
      <c r="J46" s="173"/>
    </row>
    <row r="47" spans="1:10" s="174" customFormat="1" ht="34.5" customHeight="1">
      <c r="A47" s="172"/>
      <c r="B47" s="202">
        <f>B46+1</f>
        <v>12</v>
      </c>
      <c r="C47" s="203" t="str">
        <f>ИД!A34</f>
        <v>Смета №5</v>
      </c>
      <c r="D47" s="204" t="str">
        <f>CONCATENATE(ИД!B34,"(",ИД!D34,"/",ИД!E18,")")</f>
        <v>Разработка проектной документации(215,38/1,19)</v>
      </c>
      <c r="E47" s="205"/>
      <c r="F47" s="205"/>
      <c r="G47" s="205"/>
      <c r="H47" s="206">
        <f>ИД!D34/ИД!E18</f>
        <v>180.99</v>
      </c>
      <c r="I47" s="197">
        <f t="shared" si="4"/>
        <v>180.99</v>
      </c>
      <c r="J47" s="173"/>
    </row>
    <row r="48" spans="1:10" s="174" customFormat="1" ht="30" customHeight="1">
      <c r="A48" s="172"/>
      <c r="B48" s="202">
        <f>B47+1</f>
        <v>13</v>
      </c>
      <c r="C48" s="203" t="str">
        <f>ИД!A35</f>
        <v>Смета №6</v>
      </c>
      <c r="D48" s="204" t="str">
        <f>CONCATENATE(ИД!B35,"(",ИД!D35,"/",ИД!E18,")")</f>
        <v>Разработка рабочей документации(323,07/1,19)</v>
      </c>
      <c r="E48" s="205"/>
      <c r="F48" s="205"/>
      <c r="G48" s="205"/>
      <c r="H48" s="206">
        <f>ИД!D35/ИД!E18</f>
        <v>271.49</v>
      </c>
      <c r="I48" s="197">
        <f t="shared" si="4"/>
        <v>271.49</v>
      </c>
      <c r="J48" s="173"/>
    </row>
    <row r="49" spans="1:10" s="174" customFormat="1" ht="42.75" customHeight="1">
      <c r="A49" s="172"/>
      <c r="B49" s="202">
        <f>B48+1</f>
        <v>14</v>
      </c>
      <c r="C49" s="203" t="str">
        <f>ИД!A36</f>
        <v>Постановление Правительства РФ №145от 05.03.2007г.</v>
      </c>
      <c r="D49" s="204" t="str">
        <f>CONCATENATE(ИД!B36,"(",ИД!D33,"/",ИД!E17,"+",ИД!D34,"/",ИД!E18,")","*",0.273)</f>
        <v>Проведение государственной экспертизы по объекту(217,3/1,266+215,38/1,19)*0,273</v>
      </c>
      <c r="E49" s="205"/>
      <c r="F49" s="205"/>
      <c r="G49" s="205"/>
      <c r="H49" s="206">
        <f>(ИД!D33/ИД!E17+ИД!D34/ИД!E18)*0.273</f>
        <v>96.27</v>
      </c>
      <c r="I49" s="197">
        <f t="shared" si="4"/>
        <v>96.27</v>
      </c>
      <c r="J49" s="173"/>
    </row>
    <row r="50" spans="1:10" s="22" customFormat="1" ht="18" customHeight="1">
      <c r="A50" s="28"/>
      <c r="B50" s="16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732.67</v>
      </c>
      <c r="I50" s="18">
        <f>SUM(I45:I49)</f>
        <v>732.67</v>
      </c>
      <c r="J50" s="41" t="b">
        <f>SUM(E50:H50)=SUM(I45:I49)</f>
        <v>1</v>
      </c>
    </row>
    <row r="51" spans="1:10" s="22" customFormat="1" ht="18" customHeight="1">
      <c r="A51" s="28"/>
      <c r="B51" s="167"/>
      <c r="C51" s="17"/>
      <c r="D51" s="165" t="s">
        <v>44</v>
      </c>
      <c r="E51" s="18">
        <f>E40+E43+E50</f>
        <v>5412.35</v>
      </c>
      <c r="F51" s="18">
        <f>F40+F43+F50</f>
        <v>16.809999999999999</v>
      </c>
      <c r="G51" s="18">
        <f>G40+G43+G50</f>
        <v>14.02</v>
      </c>
      <c r="H51" s="18">
        <f>H40+H43+H50</f>
        <v>1562.35</v>
      </c>
      <c r="I51" s="18">
        <f>I40+I43+I50</f>
        <v>7005.53</v>
      </c>
      <c r="J51" s="41" t="b">
        <f>SUM(E51:H51)=I40+I43+I50</f>
        <v>1</v>
      </c>
    </row>
    <row r="52" spans="1:10" s="22" customFormat="1" ht="15" customHeight="1">
      <c r="A52" s="28"/>
      <c r="B52" s="281" t="s">
        <v>45</v>
      </c>
      <c r="C52" s="282"/>
      <c r="D52" s="282"/>
      <c r="E52" s="282"/>
      <c r="F52" s="282"/>
      <c r="G52" s="282"/>
      <c r="H52" s="282"/>
      <c r="I52" s="282"/>
      <c r="J52" s="38"/>
    </row>
    <row r="53" spans="1:10" s="22" customFormat="1" ht="51">
      <c r="A53" s="30">
        <v>0.03</v>
      </c>
      <c r="B53" s="39">
        <f>B49+1</f>
        <v>15</v>
      </c>
      <c r="C53" s="24" t="str">
        <f>ИД!A37</f>
        <v>Методика утв. Приказом Минстрой РФ от 04.08.2020г. №421/пр п.179</v>
      </c>
      <c r="D53" s="166" t="s">
        <v>57</v>
      </c>
      <c r="E53" s="23">
        <f>E51*$A$53</f>
        <v>162.37</v>
      </c>
      <c r="F53" s="23">
        <f t="shared" ref="F53:H53" si="5">F51*$A$53</f>
        <v>0.5</v>
      </c>
      <c r="G53" s="23">
        <f t="shared" si="5"/>
        <v>0.42</v>
      </c>
      <c r="H53" s="23">
        <f t="shared" si="5"/>
        <v>46.87</v>
      </c>
      <c r="I53" s="23">
        <f>SUM(E53:H53)</f>
        <v>210.16</v>
      </c>
    </row>
    <row r="54" spans="1:10" s="22" customFormat="1" ht="26.25" customHeight="1">
      <c r="A54" s="28"/>
      <c r="B54" s="34"/>
      <c r="C54" s="34"/>
      <c r="D54" s="165" t="s">
        <v>46</v>
      </c>
      <c r="E54" s="18">
        <f>E51+E53</f>
        <v>5574.72</v>
      </c>
      <c r="F54" s="18">
        <f>F51+F53</f>
        <v>17.309999999999999</v>
      </c>
      <c r="G54" s="18">
        <f>G51+G53</f>
        <v>14.44</v>
      </c>
      <c r="H54" s="18">
        <f>H51+H53</f>
        <v>1609.22</v>
      </c>
      <c r="I54" s="18">
        <f>I51+I53</f>
        <v>7215.69</v>
      </c>
      <c r="J54" s="41" t="b">
        <f>SUM(E54:H54)=I51+I53</f>
        <v>1</v>
      </c>
    </row>
    <row r="55" spans="1:10" s="188" customFormat="1" ht="18" customHeight="1">
      <c r="B55" s="189"/>
      <c r="C55" s="189"/>
      <c r="D55" s="190" t="s">
        <v>109</v>
      </c>
      <c r="E55" s="189"/>
      <c r="F55" s="189"/>
      <c r="G55" s="189"/>
      <c r="H55" s="189"/>
      <c r="I55" s="191">
        <f>ИД!D40</f>
        <v>124.42</v>
      </c>
      <c r="J55" s="192"/>
    </row>
    <row r="56" spans="1:10">
      <c r="B56" s="237"/>
      <c r="C56" s="237"/>
      <c r="D56" s="240" t="s">
        <v>141</v>
      </c>
      <c r="E56" s="238"/>
      <c r="F56" s="238"/>
      <c r="G56" s="238"/>
      <c r="H56" s="238"/>
      <c r="I56" s="239">
        <f>H46+H47+H48</f>
        <v>624.12</v>
      </c>
    </row>
    <row r="57" spans="1:10">
      <c r="B57" s="241"/>
      <c r="C57" s="241"/>
      <c r="D57" s="242"/>
      <c r="E57" s="243"/>
      <c r="F57" s="243"/>
      <c r="G57" s="243"/>
      <c r="H57" s="243"/>
      <c r="I57" s="244"/>
    </row>
    <row r="59" spans="1:10">
      <c r="C59" s="43" t="str">
        <f>ССРтек!C61</f>
        <v>Генеральный директор  ООО "ИВЦ "Энергоактив""</v>
      </c>
      <c r="D59" s="1"/>
      <c r="E59" s="283"/>
      <c r="F59" s="283"/>
      <c r="G59" s="283"/>
      <c r="H59" s="58" t="str">
        <f>ИД!$B$6</f>
        <v>С.В. Лопашук</v>
      </c>
      <c r="I59" s="1"/>
    </row>
    <row r="60" spans="1:10">
      <c r="C60" s="3"/>
      <c r="D60" s="58"/>
      <c r="E60" s="9"/>
      <c r="F60" s="9"/>
      <c r="G60" s="9"/>
      <c r="H60" s="58"/>
      <c r="I60" s="9"/>
    </row>
    <row r="61" spans="1:10">
      <c r="C61" s="3"/>
      <c r="D61" s="58"/>
      <c r="E61" s="9"/>
      <c r="F61" s="9"/>
      <c r="G61" s="9"/>
      <c r="H61" s="58"/>
      <c r="I61" s="9"/>
    </row>
    <row r="62" spans="1:10">
      <c r="C62" s="43" t="str">
        <f>ССРтек!C64</f>
        <v>Главный инженер проекта ООО "ИВЦ "Энергоактив""</v>
      </c>
      <c r="D62" s="1"/>
      <c r="E62" s="283"/>
      <c r="F62" s="283"/>
      <c r="G62" s="283"/>
      <c r="H62" s="109" t="str">
        <f>ИД!B7</f>
        <v>Н.В.Петров</v>
      </c>
      <c r="I62" s="1"/>
    </row>
    <row r="63" spans="1:10">
      <c r="C63" s="3"/>
      <c r="D63" s="58"/>
      <c r="E63" s="9"/>
      <c r="F63" s="9"/>
      <c r="G63" s="9"/>
      <c r="H63" s="58"/>
      <c r="I63" s="9"/>
    </row>
    <row r="64" spans="1:10">
      <c r="C64" s="3"/>
      <c r="D64" s="58"/>
      <c r="E64" s="9"/>
      <c r="F64" s="9"/>
      <c r="G64" s="9"/>
      <c r="H64" s="58"/>
      <c r="I64" s="9"/>
    </row>
    <row r="65" spans="3:9">
      <c r="C65" s="3" t="s">
        <v>50</v>
      </c>
      <c r="D65" s="58"/>
      <c r="E65" s="226"/>
      <c r="F65" s="226"/>
      <c r="G65" s="226"/>
      <c r="H65" s="58"/>
      <c r="I65" s="9"/>
    </row>
    <row r="66" spans="3:9" ht="18.75" customHeight="1">
      <c r="C66" s="284"/>
      <c r="D66" s="284"/>
      <c r="E66" s="280"/>
      <c r="F66" s="280"/>
      <c r="G66" s="280"/>
      <c r="H66" s="62"/>
      <c r="I66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9:I29"/>
    <mergeCell ref="B33:I33"/>
    <mergeCell ref="B52:I52"/>
    <mergeCell ref="B18:I18"/>
    <mergeCell ref="B22:I22"/>
    <mergeCell ref="B41:I41"/>
    <mergeCell ref="B25:I25"/>
    <mergeCell ref="E66:G66"/>
    <mergeCell ref="B44:I44"/>
    <mergeCell ref="E59:G59"/>
    <mergeCell ref="E62:G62"/>
    <mergeCell ref="C66:D6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6" t="str">
        <f>CONCATENATE(ИД!$B$10,ИД!$C$11)</f>
        <v>«Реконструкция распределительных и квартальных тепловых сетей г. Благовещенска Амурской области» Объект 3 (Тепловые сети по ул. Политехническая от ТК-522 до ТК-524 L=520,4 м, D=530мм)</v>
      </c>
      <c r="C1" s="296"/>
      <c r="D1" s="296"/>
      <c r="E1" s="296"/>
      <c r="F1" s="296"/>
      <c r="G1" s="296"/>
      <c r="H1" s="296"/>
      <c r="I1" s="296"/>
    </row>
    <row r="2" spans="1:9">
      <c r="B2" s="297" t="s">
        <v>12</v>
      </c>
      <c r="C2" s="297"/>
      <c r="D2" s="297"/>
      <c r="E2" s="297"/>
      <c r="F2" s="297"/>
      <c r="G2" s="297"/>
      <c r="H2" s="297"/>
      <c r="I2" s="297"/>
    </row>
    <row r="4" spans="1:9" ht="15.75">
      <c r="B4" s="298" t="s">
        <v>87</v>
      </c>
      <c r="C4" s="298"/>
      <c r="D4" s="298"/>
      <c r="E4" s="298"/>
      <c r="F4" s="298"/>
      <c r="G4" s="298"/>
      <c r="H4" s="298"/>
      <c r="I4" s="298"/>
    </row>
    <row r="5" spans="1:9" ht="15.75">
      <c r="B5" s="298" t="s">
        <v>97</v>
      </c>
      <c r="C5" s="298"/>
      <c r="D5" s="298"/>
      <c r="E5" s="298"/>
      <c r="F5" s="298"/>
      <c r="G5" s="298"/>
      <c r="H5" s="298"/>
      <c r="I5" s="298"/>
    </row>
    <row r="6" spans="1:9" ht="15.75">
      <c r="B6" s="118"/>
      <c r="C6" s="118"/>
      <c r="D6" s="118"/>
      <c r="E6" s="118"/>
      <c r="F6" s="118"/>
      <c r="G6" s="118"/>
      <c r="H6" s="118"/>
      <c r="I6" s="118"/>
    </row>
    <row r="7" spans="1:9" s="63" customFormat="1" ht="13.5">
      <c r="A7" s="108"/>
      <c r="B7" s="64"/>
      <c r="C7" s="64"/>
      <c r="D7" s="299" t="s">
        <v>62</v>
      </c>
      <c r="E7" s="299"/>
      <c r="F7" s="299"/>
      <c r="G7" s="299"/>
      <c r="H7" s="299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5" t="s">
        <v>63</v>
      </c>
      <c r="E9" s="295"/>
      <c r="F9" s="295"/>
      <c r="G9" s="295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300" t="s">
        <v>64</v>
      </c>
      <c r="E10" s="300"/>
      <c r="F10" s="300"/>
      <c r="G10" s="300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300" t="s">
        <v>65</v>
      </c>
      <c r="E11" s="300"/>
      <c r="F11" s="300"/>
      <c r="G11" s="300"/>
      <c r="H11" s="69" t="e">
        <f>H9/H10*1000</f>
        <v>#REF!</v>
      </c>
      <c r="I11" s="120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27</v>
      </c>
      <c r="E13" s="73"/>
      <c r="F13" s="73"/>
      <c r="G13" s="73"/>
      <c r="H13" s="73"/>
      <c r="I13" s="73"/>
    </row>
    <row r="14" spans="1:9" ht="15.75">
      <c r="B14" s="118"/>
      <c r="C14" s="118"/>
      <c r="D14" s="59"/>
      <c r="E14" s="59"/>
      <c r="F14" s="59"/>
      <c r="G14" s="35"/>
      <c r="H14" s="33"/>
      <c r="I14" s="118"/>
    </row>
    <row r="15" spans="1:9" ht="15" customHeight="1">
      <c r="B15" s="301" t="s">
        <v>16</v>
      </c>
      <c r="C15" s="301" t="s">
        <v>67</v>
      </c>
      <c r="D15" s="301" t="s">
        <v>68</v>
      </c>
      <c r="E15" s="301" t="s">
        <v>17</v>
      </c>
      <c r="F15" s="301"/>
      <c r="G15" s="301"/>
      <c r="H15" s="301"/>
      <c r="I15" s="301"/>
    </row>
    <row r="16" spans="1:9" ht="85.5" customHeight="1">
      <c r="B16" s="301"/>
      <c r="C16" s="301"/>
      <c r="D16" s="301"/>
      <c r="E16" s="74" t="s">
        <v>69</v>
      </c>
      <c r="F16" s="119" t="s">
        <v>15</v>
      </c>
      <c r="G16" s="119" t="s">
        <v>70</v>
      </c>
      <c r="H16" s="119" t="s">
        <v>71</v>
      </c>
      <c r="I16" s="11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G20" sqref="G20"/>
    </sheetView>
  </sheetViews>
  <sheetFormatPr defaultRowHeight="14.25"/>
  <cols>
    <col min="1" max="1" width="58.5703125" style="91" customWidth="1"/>
    <col min="2" max="2" width="16.85546875" style="91" customWidth="1"/>
    <col min="3" max="3" width="11" style="91" customWidth="1"/>
    <col min="4" max="16384" width="9.140625" style="91"/>
  </cols>
  <sheetData>
    <row r="1" spans="1:3">
      <c r="A1" s="97"/>
      <c r="B1" s="98"/>
      <c r="C1" s="99"/>
    </row>
    <row r="2" spans="1:3" ht="28.5">
      <c r="A2" s="97" t="s">
        <v>151</v>
      </c>
      <c r="B2" s="98">
        <f>ССРтек!I58</f>
        <v>1442.3</v>
      </c>
      <c r="C2" s="99" t="s">
        <v>113</v>
      </c>
    </row>
    <row r="3" spans="1:3">
      <c r="A3" s="97"/>
      <c r="B3" s="98"/>
      <c r="C3" s="99"/>
    </row>
    <row r="4" spans="1:3" ht="28.5">
      <c r="A4" s="97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8">
        <f>ССРтек!I54</f>
        <v>104197.77</v>
      </c>
      <c r="C4" s="99" t="s">
        <v>53</v>
      </c>
    </row>
    <row r="5" spans="1:3" ht="18" customHeight="1">
      <c r="A5" s="99" t="s">
        <v>51</v>
      </c>
      <c r="B5" s="98">
        <f>ССРтек!E54+ССРтек!F54</f>
        <v>86669.28</v>
      </c>
      <c r="C5" s="99" t="s">
        <v>53</v>
      </c>
    </row>
    <row r="6" spans="1:3">
      <c r="A6" s="99"/>
      <c r="B6" s="98"/>
      <c r="C6" s="99"/>
    </row>
    <row r="7" spans="1:3" ht="28.5">
      <c r="A7" s="97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8">
        <f>ССРтек!I57</f>
        <v>125037.32</v>
      </c>
      <c r="C7" s="99" t="s">
        <v>53</v>
      </c>
    </row>
    <row r="8" spans="1:3" ht="18" customHeight="1">
      <c r="A8" s="99" t="s">
        <v>52</v>
      </c>
      <c r="B8" s="98">
        <f>ССРтек!E57+ССРтек!F57</f>
        <v>104003.13</v>
      </c>
      <c r="C8" s="99" t="s">
        <v>53</v>
      </c>
    </row>
    <row r="9" spans="1:3">
      <c r="A9" s="99"/>
      <c r="B9" s="98"/>
      <c r="C9" s="99"/>
    </row>
    <row r="10" spans="1:3" ht="18" hidden="1" customHeight="1">
      <c r="A10" s="100" t="s">
        <v>137</v>
      </c>
      <c r="B10" s="101">
        <f>B7/ИД!F23</f>
        <v>265472.02</v>
      </c>
      <c r="C10" s="99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ИД</vt:lpstr>
      <vt:lpstr>ССРтек</vt:lpstr>
      <vt:lpstr>ОС-06-01тек</vt:lpstr>
      <vt:lpstr>ССРбаз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2023-04-20T23:27:10Z</dcterms:modified>
</cp:coreProperties>
</file>